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olors1.xml" ContentType="application/vnd.ms-office.chartcolorstyle+xml"/>
  <Override PartName="/xl/charts/style2.xml" ContentType="application/vnd.ms-office.chartstyle+xml"/>
  <Override PartName="/xl/charts/colors4.xml" ContentType="application/vnd.ms-office.chartcolorstyle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charts/colors2.xml" ContentType="application/vnd.ms-office.chartcolorstyle+xml"/>
  <Override PartName="/xl/charts/style3.xml" ContentType="application/vnd.ms-office.chartstyle+xml"/>
  <Override PartName="/xl/charts/chart4.xml" ContentType="application/vnd.openxmlformats-officedocument.drawingml.chart+xml"/>
  <Override PartName="/xl/charts/style1.xml" ContentType="application/vnd.ms-office.chartstyle+xml"/>
  <Override PartName="/xl/charts/colors3.xml" ContentType="application/vnd.ms-office.chartcolorstyle+xml"/>
  <Override PartName="/xl/charts/chart1.xml" ContentType="application/vnd.openxmlformats-officedocument.drawingml.chart+xml"/>
  <Override PartName="/xl/charts/style4.xml" ContentType="application/vnd.ms-office.chart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uide" sheetId="1" state="visible" r:id="rId3"/>
    <sheet name="Rate Card" sheetId="2" state="visible" r:id="rId4"/>
    <sheet name="Assumptions" sheetId="3" state="visible" r:id="rId5"/>
    <sheet name="Bottom-Up" sheetId="4" state="visible" r:id="rId6"/>
    <sheet name="Top-Down" sheetId="5" state="visible" r:id="rId7"/>
    <sheet name="Projection-12mo" sheetId="6" state="visible" r:id="rId8"/>
    <sheet name="Projection-36mo" sheetId="7" state="visible" r:id="rId9"/>
    <sheet name="Scenarios" sheetId="8" state="visible" r:id="rId10"/>
    <sheet name="Dashboard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<sst xmlns="http://schemas.openxmlformats.org/spreadsheetml/2006/main" count="177" uniqueCount="151">
  <si>
    <t xml:space="preserve">AI Token Cost Projection Framework</t>
  </si>
  <si>
    <t xml:space="preserve">Provider-agnostic model for projecting enterprise LLM API spend  |  Built June 2026</t>
  </si>
  <si>
    <t xml:space="preserve">How to use this workbook</t>
  </si>
  <si>
    <t xml:space="preserve">1. Rate Card</t>
  </si>
  <si>
    <t xml:space="preserve">Enter the $/1M token prices for the models you use (blue cells). Reference benchmarks are pre-filled - VERIFY against each provider's current pricing page.</t>
  </si>
  <si>
    <t xml:space="preserve">2. Assumptions</t>
  </si>
  <si>
    <t xml:space="preserve">Set global drivers: org size, working days, adoption ramp shape, batch/cache discounts, and annual price change.</t>
  </si>
  <si>
    <t xml:space="preserve">3. Bottom-Up</t>
  </si>
  <si>
    <t xml:space="preserve">Define each AI use case (users, interactions, tokens per call, model). Most accurate build; steady-state monthly cost rolls up here.</t>
  </si>
  <si>
    <t xml:space="preserve">4. Top-Down</t>
  </si>
  <si>
    <t xml:space="preserve">A sanity-check cross-method: tokens per seat per day x headcount. Compare to bottom-up.</t>
  </si>
  <si>
    <t xml:space="preserve">5. Projection-12mo / 36mo</t>
  </si>
  <si>
    <t xml:space="preserve">Applies the adoption ramp and price changes to steady-state cost to produce a time-phased forecast.</t>
  </si>
  <si>
    <t xml:space="preserve">6. Scenarios</t>
  </si>
  <si>
    <t xml:space="preserve">Low / Base / High envelope driven by multipliers on the key uncertainties.</t>
  </si>
  <si>
    <t xml:space="preserve">7. Dashboard</t>
  </si>
  <si>
    <t xml:space="preserve">Charts and headline numbers for sharing.</t>
  </si>
  <si>
    <t xml:space="preserve">Color legend</t>
  </si>
  <si>
    <t xml:space="preserve">Blue text</t>
  </si>
  <si>
    <t xml:space="preserve">Hardcoded input - change these for your org</t>
  </si>
  <si>
    <t xml:space="preserve">Black text</t>
  </si>
  <si>
    <t xml:space="preserve">Formula / calculation - do not overwrite</t>
  </si>
  <si>
    <t xml:space="preserve">Green text</t>
  </si>
  <si>
    <t xml:space="preserve">Pulls from another sheet</t>
  </si>
  <si>
    <t xml:space="preserve">Yellow fill</t>
  </si>
  <si>
    <t xml:space="preserve">Key assumption to review</t>
  </si>
  <si>
    <t xml:space="preserve">Token rule of thumb</t>
  </si>
  <si>
    <t xml:space="preserve">~1 token = 0.75 English words (~4 characters). 1,000 words = ~1,333 tokens. Always confirm with your provider's tokenizer.</t>
  </si>
  <si>
    <t xml:space="preserve">Reference pricing sources (verify - pricing changes frequently):</t>
  </si>
  <si>
    <t xml:space="preserve">- Anthropic, OpenAI, and Google public pricing pages</t>
  </si>
  <si>
    <t xml:space="preserve">- Benchmarks captured June 2026; treat all rates as VERIFY-REQUIRED inputs.</t>
  </si>
  <si>
    <t xml:space="preserve">Rate Card  (provider-agnostic model tiers)</t>
  </si>
  <si>
    <t xml:space="preserve">Edit blue cells. Add your own model rows. Prices are $ per 1,000,000 tokens. VERIFY all rates.</t>
  </si>
  <si>
    <t xml:space="preserve">Model / Tier label</t>
  </si>
  <si>
    <t xml:space="preserve">Input $/1M</t>
  </si>
  <si>
    <t xml:space="preserve">Output $/1M</t>
  </si>
  <si>
    <t xml:space="preserve">Reference benchmark (Jun 2026)</t>
  </si>
  <si>
    <t xml:space="preserve">Tier A - Frontier High</t>
  </si>
  <si>
    <t xml:space="preserve">Claude Opus 4.8 / GPT-5.5 class</t>
  </si>
  <si>
    <t xml:space="preserve">Tier B - Frontier Mid</t>
  </si>
  <si>
    <t xml:space="preserve">Claude Sonnet 4.6 / GPT-5.4 class</t>
  </si>
  <si>
    <t xml:space="preserve">Tier C - Economy</t>
  </si>
  <si>
    <t xml:space="preserve">Claude Haiku 4.5 / GPT-5 class</t>
  </si>
  <si>
    <t xml:space="preserve">Tier D - Ultra-Economy</t>
  </si>
  <si>
    <t xml:space="preserve">Gemini Flash-Lite class</t>
  </si>
  <si>
    <t xml:space="preserve">Custom model 1</t>
  </si>
  <si>
    <t xml:space="preserve">&lt;enter your contracted rate&gt;</t>
  </si>
  <si>
    <t xml:space="preserve">Custom model 2</t>
  </si>
  <si>
    <t xml:space="preserve">Discount levers</t>
  </si>
  <si>
    <t xml:space="preserve">Batch processing discount</t>
  </si>
  <si>
    <t xml:space="preserve">Async/batch APIs ~50% off list</t>
  </si>
  <si>
    <t xml:space="preserve">Prompt-cache discount (on cached input)</t>
  </si>
  <si>
    <t xml:space="preserve">Cached input tokens ~90% off</t>
  </si>
  <si>
    <t xml:space="preserve">Global Assumptions</t>
  </si>
  <si>
    <t xml:space="preserve">Blue = inputs you change. These drive all projections.</t>
  </si>
  <si>
    <t xml:space="preserve">Organisation</t>
  </si>
  <si>
    <t xml:space="preserve">Total target users (full rollout)</t>
  </si>
  <si>
    <t xml:space="preserve">Seats expected to use AI at steady state</t>
  </si>
  <si>
    <t xml:space="preserve">Working days per month</t>
  </si>
  <si>
    <t xml:space="preserve">Converts daily usage to monthly</t>
  </si>
  <si>
    <t xml:space="preserve">Projection horizon (months)</t>
  </si>
  <si>
    <t xml:space="preserve">Reference only; both 12 &amp; 36 tabs are built</t>
  </si>
  <si>
    <t xml:space="preserve">Adoption ramp</t>
  </si>
  <si>
    <t xml:space="preserve">Active users month 1 (% of target)</t>
  </si>
  <si>
    <t xml:space="preserve">Pilot / early adopters</t>
  </si>
  <si>
    <t xml:space="preserve">Month at which 100% adoption reached</t>
  </si>
  <si>
    <t xml:space="preserve">Linear ramp to this month</t>
  </si>
  <si>
    <t xml:space="preserve">Price &amp; efficiency trends (annual)</t>
  </si>
  <si>
    <t xml:space="preserve">Annual change in token prices</t>
  </si>
  <si>
    <t xml:space="preserve">Prices tend to fall; negative = cheaper</t>
  </si>
  <si>
    <t xml:space="preserve">Annual change in tokens per user</t>
  </si>
  <si>
    <t xml:space="preserve">Usage grows as adoption deepens</t>
  </si>
  <si>
    <t xml:space="preserve">Overheads</t>
  </si>
  <si>
    <t xml:space="preserve">Non-token overhead uplift</t>
  </si>
  <si>
    <t xml:space="preserve">Embeddings, retries, eval, dev/test traffic</t>
  </si>
  <si>
    <t xml:space="preserve">Contingency / buffer</t>
  </si>
  <si>
    <t xml:space="preserve">Forecast risk buffer</t>
  </si>
  <si>
    <t xml:space="preserve">Bottom-Up Build  -  cost per use case</t>
  </si>
  <si>
    <t xml:space="preserve">Define each workflow. Black columns are formulas. Pick a model from the Rate Card list.</t>
  </si>
  <si>
    <t xml:space="preserve">Use case</t>
  </si>
  <si>
    <t xml:space="preserve">Model (from Rate Card)</t>
  </si>
  <si>
    <t xml:space="preserve">Active users</t>
  </si>
  <si>
    <t xml:space="preserve">Interactions /user/day</t>
  </si>
  <si>
    <t xml:space="preserve">Input tokens /call</t>
  </si>
  <si>
    <t xml:space="preserve">Output tokens /call</t>
  </si>
  <si>
    <t xml:space="preserve">Cache hit %</t>
  </si>
  <si>
    <t xml:space="preserve">Batch %</t>
  </si>
  <si>
    <t xml:space="preserve">Monthly tokens (M)</t>
  </si>
  <si>
    <t xml:space="preserve">Eff. cost /1M ($)</t>
  </si>
  <si>
    <t xml:space="preserve">Monthly cost ($)</t>
  </si>
  <si>
    <t xml:space="preserve">Customer support assistant</t>
  </si>
  <si>
    <t xml:space="preserve">Coding assistant (IDE)</t>
  </si>
  <si>
    <t xml:space="preserve">Internal knowledge / RAG search</t>
  </si>
  <si>
    <t xml:space="preserve">Doc summarization (batch)</t>
  </si>
  <si>
    <t xml:space="preserve">Sales &amp; marketing content</t>
  </si>
  <si>
    <t xml:space="preserve">Data / BI copilot</t>
  </si>
  <si>
    <t xml:space="preserve">TOTAL (steady state / month)</t>
  </si>
  <si>
    <t xml:space="preserve">Steady-state cost incl. overhead &amp; contingency / month</t>
  </si>
  <si>
    <t xml:space="preserve">Annualised (x12, steady state)</t>
  </si>
  <si>
    <t xml:space="preserve">Top-Down Cross-Check  -  tokens per seat</t>
  </si>
  <si>
    <t xml:space="preserve">Independent estimate by persona. Compare the total to Bottom-Up.</t>
  </si>
  <si>
    <t xml:space="preserve">Persona</t>
  </si>
  <si>
    <t xml:space="preserve">Seats</t>
  </si>
  <si>
    <t xml:space="preserve">% active daily</t>
  </si>
  <si>
    <t xml:space="preserve">Tokens /active seat/day</t>
  </si>
  <si>
    <t xml:space="preserve">Model (Rate Card)</t>
  </si>
  <si>
    <t xml:space="preserve">Power users (eng/data)</t>
  </si>
  <si>
    <t xml:space="preserve">Knowledge workers</t>
  </si>
  <si>
    <t xml:space="preserve">Light / occasional</t>
  </si>
  <si>
    <t xml:space="preserve">TOTAL / month</t>
  </si>
  <si>
    <t xml:space="preserve">Top-Down total (per month)</t>
  </si>
  <si>
    <t xml:space="preserve">Bottom-Up steady-state (per month, pre-overhead)</t>
  </si>
  <si>
    <t xml:space="preserve">Variance (Top-Down vs Bottom-Up)</t>
  </si>
  <si>
    <t xml:space="preserve">Aim to keep variance within +/-25%. Large gaps mean an assumption needs revisiting.</t>
  </si>
  <si>
    <t xml:space="preserve">Projection - 12 months</t>
  </si>
  <si>
    <t xml:space="preserve">Steady-state bottom-up cost scaled by adoption ramp, usage growth and price change.</t>
  </si>
  <si>
    <t xml:space="preserve">Month</t>
  </si>
  <si>
    <t xml:space="preserve">TOTAL</t>
  </si>
  <si>
    <t xml:space="preserve">Adoption (% of target)</t>
  </si>
  <si>
    <t xml:space="preserve">Usage growth factor</t>
  </si>
  <si>
    <t xml:space="preserve">Price index (vs today)</t>
  </si>
  <si>
    <t xml:space="preserve">Token cost ($)</t>
  </si>
  <si>
    <t xml:space="preserve">+ Overhead &amp; contingency ($)</t>
  </si>
  <si>
    <t xml:space="preserve">Total monthly cost ($)</t>
  </si>
  <si>
    <t xml:space="preserve">Cumulative cost ($)</t>
  </si>
  <si>
    <t xml:space="preserve">Total 12-month spend</t>
  </si>
  <si>
    <t xml:space="preserve">Projection - 36 months</t>
  </si>
  <si>
    <t xml:space="preserve">Total 36-month spend</t>
  </si>
  <si>
    <t xml:space="preserve">Scenario Envelope</t>
  </si>
  <si>
    <t xml:space="preserve">Multipliers applied to steady-state bottom-up cost. Edit blue cells.</t>
  </si>
  <si>
    <t xml:space="preserve">Driver</t>
  </si>
  <si>
    <t xml:space="preserve">Low</t>
  </si>
  <si>
    <t xml:space="preserve">Base</t>
  </si>
  <si>
    <t xml:space="preserve">High</t>
  </si>
  <si>
    <t xml:space="preserve">Usage / adoption multiplier</t>
  </si>
  <si>
    <t xml:space="preserve">Token price multiplier</t>
  </si>
  <si>
    <t xml:space="preserve">Tokens per interaction multiplier</t>
  </si>
  <si>
    <t xml:space="preserve">Combined multiplier</t>
  </si>
  <si>
    <t xml:space="preserve">Steady-state monthly cost (incl. overhead)</t>
  </si>
  <si>
    <t xml:space="preserve">Annualised</t>
  </si>
  <si>
    <t xml:space="preserve">Read: Low / Base / High annual envelope above. Use to set budget guardrails.</t>
  </si>
  <si>
    <t xml:space="preserve">Dashboard</t>
  </si>
  <si>
    <t xml:space="preserve">Headline projections. All figures flow from the input tabs.</t>
  </si>
  <si>
    <t xml:space="preserve">Steady-state cost / month</t>
  </si>
  <si>
    <t xml:space="preserve">Steady-state cost / year</t>
  </si>
  <si>
    <t xml:space="preserve">Total 12-month spend (with ramp)</t>
  </si>
  <si>
    <t xml:space="preserve">Total 36-month spend (with ramp)</t>
  </si>
  <si>
    <t xml:space="preserve">Cost per user / year (steady state)</t>
  </si>
  <si>
    <t xml:space="preserve">Total tokens / month (M, steady state)</t>
  </si>
  <si>
    <t xml:space="preserve">Cost by use case (steady state / month)</t>
  </si>
  <si>
    <t xml:space="preserve">% of total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</si>
</sst>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.00;&quot;($&quot;#,##0.00\);\-"/>
    <numFmt numFmtId="166" formatCode="0.0%;\(0.0%\);\-"/>
    <numFmt numFmtId="167" formatCode="#,##0;\(#,##0\);\-"/>
    <numFmt numFmtId="168" formatCode="#,##0.0;\(#,##0.0\);\-"/>
    <numFmt numFmtId="169" formatCode="\$#,##0;&quot;($&quot;#,##0\);\-"/>
    <numFmt numFmtId="170" formatCode="0.00"/>
    <numFmt numFmtId="171" formatCode="\$#,##0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sz val="10"/>
      <color rgb="FF40404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sz val="10"/>
      <color rgb="FF595959"/>
      <name val="Arial"/>
      <family val="0"/>
      <charset val="1"/>
    </font>
    <font>
      <i val="true"/>
      <sz val="10"/>
      <color rgb="FFC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9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8000"/>
      <name val="Arial"/>
      <family val="0"/>
      <charset val="1"/>
    </font>
    <font>
      <sz val="10"/>
      <color rgb="FF1F3864"/>
      <name val="Arial"/>
      <family val="0"/>
      <charset val="1"/>
    </font>
    <font>
      <b val="true"/>
      <sz val="10"/>
      <color rgb="FF40404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FFFF00"/>
        <bgColor rgb="FFFFFF00"/>
      </patternFill>
    </fill>
    <fill>
      <patternFill patternType="solid">
        <fgColor rgb="FF8EAADB"/>
        <bgColor rgb="FF99CCFF"/>
      </patternFill>
    </fill>
    <fill>
      <patternFill patternType="solid">
        <fgColor rgb="FFD9E1F2"/>
        <bgColor rgb="FFD9D9D9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EAADB"/>
      <rgbColor rgb="FFC0504D"/>
      <rgbColor rgb="FFF2F2F2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4BACC6"/>
      <rgbColor rgb="FF9BBB59"/>
      <rgbColor rgb="FFFFCC00"/>
      <rgbColor rgb="FFF79646"/>
      <rgbColor rgb="FFFF6600"/>
      <rgbColor rgb="FF8064A2"/>
      <rgbColor rgb="FF878787"/>
      <rgbColor rgb="FF1F3864"/>
      <rgbColor rgb="FF4F81BD"/>
      <rgbColor rgb="FF003300"/>
      <rgbColor rgb="FF333300"/>
      <rgbColor rgb="FF993300"/>
      <rgbColor rgb="FF993366"/>
      <rgbColor rgb="FF59595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_rels/chart4.xml.rels><?xml version="1.0" encoding="UTF-8"?>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Monthly AI cost - 12 months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4A7EBB"/>
            </a:solidFill>
            <a:ln w="1260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'Projection-12mo'!$C$5:$N$5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'Projection-12mo'!$C$12:$N$12</c:f>
              <c:numCache>
                <c:formatCode>\$#,##0;"($"#,##0\);\-</c:formatCode>
                <c:ptCount val="12"/>
                <c:pt idx="0">
                  <c:v>4580.555133</c:v>
                </c:pt>
                <c:pt idx="1">
                  <c:v>6498.3394522987</c:v>
                </c:pt>
                <c:pt idx="2">
                  <c:v>8389.34520252713</c:v>
                </c:pt>
                <c:pt idx="3">
                  <c:v>10253.8512816541</c:v>
                </c:pt>
                <c:pt idx="4">
                  <c:v>12092.1340092099</c:v>
                </c:pt>
                <c:pt idx="5">
                  <c:v>13904.4671486223</c:v>
                </c:pt>
                <c:pt idx="6">
                  <c:v>15691.1219293666</c:v>
                </c:pt>
                <c:pt idx="7">
                  <c:v>17452.3670689316</c:v>
                </c:pt>
                <c:pt idx="8">
                  <c:v>19188.4687946029</c:v>
                </c:pt>
                <c:pt idx="9">
                  <c:v>20899.6908650648</c:v>
                </c:pt>
                <c:pt idx="10">
                  <c:v>22586.2945918227</c:v>
                </c:pt>
                <c:pt idx="11">
                  <c:v>24248.5388604469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2796492"/>
        <c:axId val="65422979"/>
      </c:lineChart>
      <c:catAx>
        <c:axId val="32796492"/>
        <c:scaling>
          <c:orientation val="minMax"/>
        </c:scaling>
        <c:delete val="0"/>
        <c:axPos val="b"/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5422979"/>
        <c:crosses val="autoZero"/>
        <c:auto val="1"/>
        <c:lblAlgn val="ctr"/>
        <c:lblOffset val="100"/>
        <c:noMultiLvlLbl val="0"/>
      </c:catAx>
      <c:valAx>
        <c:axId val="6542297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3279649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Cumulative AI cost - 36 months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4A7EBB"/>
            </a:solidFill>
            <a:ln w="1260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'Projection-36mo'!$C$5:$AL$5</c:f>
              <c:strCach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</c:strCache>
            </c:strRef>
          </c:cat>
          <c:val>
            <c:numRef>
              <c:f>'Projection-36mo'!$C$13:$AL$13</c:f>
              <c:numCache>
                <c:formatCode>\$#,##0;"($"#,##0\);\-</c:formatCode>
                <c:ptCount val="36"/>
                <c:pt idx="0">
                  <c:v>4580.555133</c:v>
                </c:pt>
                <c:pt idx="1">
                  <c:v>11078.8945852987</c:v>
                </c:pt>
                <c:pt idx="2">
                  <c:v>19468.2397878258</c:v>
                </c:pt>
                <c:pt idx="3">
                  <c:v>29722.0910694799</c:v>
                </c:pt>
                <c:pt idx="4">
                  <c:v>41814.2250786898</c:v>
                </c:pt>
                <c:pt idx="5">
                  <c:v>55718.6922273121</c:v>
                </c:pt>
                <c:pt idx="6">
                  <c:v>71409.8141566788</c:v>
                </c:pt>
                <c:pt idx="7">
                  <c:v>88862.1812256104</c:v>
                </c:pt>
                <c:pt idx="8">
                  <c:v>108050.650020213</c:v>
                </c:pt>
                <c:pt idx="9">
                  <c:v>128950.340885278</c:v>
                </c:pt>
                <c:pt idx="10">
                  <c:v>151536.635477101</c:v>
                </c:pt>
                <c:pt idx="11">
                  <c:v>175785.174337548</c:v>
                </c:pt>
                <c:pt idx="12">
                  <c:v>199865.807036748</c:v>
                </c:pt>
                <c:pt idx="13">
                  <c:v>223779.696221207</c:v>
                </c:pt>
                <c:pt idx="14">
                  <c:v>247527.996486822</c:v>
                </c:pt>
                <c:pt idx="15">
                  <c:v>271111.854434627</c:v>
                </c:pt>
                <c:pt idx="16">
                  <c:v>294532.408726149</c:v>
                </c:pt>
                <c:pt idx="17">
                  <c:v>317790.79013839</c:v>
                </c:pt>
                <c:pt idx="18">
                  <c:v>340888.121618418</c:v>
                </c:pt>
                <c:pt idx="19">
                  <c:v>363825.518337585</c:v>
                </c:pt>
                <c:pt idx="20">
                  <c:v>386604.087745372</c:v>
                </c:pt>
                <c:pt idx="21">
                  <c:v>409224.929622853</c:v>
                </c:pt>
                <c:pt idx="22">
                  <c:v>431689.136135801</c:v>
                </c:pt>
                <c:pt idx="23">
                  <c:v>453997.791887413</c:v>
                </c:pt>
                <c:pt idx="24">
                  <c:v>476151.973970677</c:v>
                </c:pt>
                <c:pt idx="25">
                  <c:v>498152.752020379</c:v>
                </c:pt>
                <c:pt idx="26">
                  <c:v>520001.188264745</c:v>
                </c:pt>
                <c:pt idx="27">
                  <c:v>541698.337576725</c:v>
                </c:pt>
                <c:pt idx="28">
                  <c:v>563245.247524926</c:v>
                </c:pt>
                <c:pt idx="29">
                  <c:v>584642.958424187</c:v>
                </c:pt>
                <c:pt idx="30">
                  <c:v>605892.503385813</c:v>
                </c:pt>
                <c:pt idx="31">
                  <c:v>626994.908367447</c:v>
                </c:pt>
                <c:pt idx="32">
                  <c:v>647951.192222611</c:v>
                </c:pt>
                <c:pt idx="33">
                  <c:v>668762.366749894</c:v>
                </c:pt>
                <c:pt idx="34">
                  <c:v>689429.436741806</c:v>
                </c:pt>
                <c:pt idx="35">
                  <c:v>709953.400033288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9334043"/>
        <c:axId val="2922815"/>
      </c:lineChart>
      <c:catAx>
        <c:axId val="49334043"/>
        <c:scaling>
          <c:orientation val="minMax"/>
        </c:scaling>
        <c:delete val="0"/>
        <c:axPos val="b"/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922815"/>
        <c:crosses val="autoZero"/>
        <c:auto val="1"/>
        <c:lblAlgn val="ctr"/>
        <c:lblOffset val="100"/>
        <c:noMultiLvlLbl val="0"/>
      </c:catAx>
      <c:valAx>
        <c:axId val="292281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9334043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Annualised cost: Low / Base / High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Scenarios!$C$5:$E$5</c:f>
              <c:strCache>
                <c:ptCount val="3"/>
                <c:pt idx="0">
                  <c:v>Low</c:v>
                </c:pt>
                <c:pt idx="1">
                  <c:v>Base</c:v>
                </c:pt>
                <c:pt idx="2">
                  <c:v>High</c:v>
                </c:pt>
              </c:strCache>
            </c:strRef>
          </c:cat>
          <c:val>
            <c:numRef>
              <c:f>Scenarios!$C$12:$E$12</c:f>
              <c:numCache>
                <c:formatCode>\$#,##0;"($"#,##0\);\-</c:formatCode>
                <c:ptCount val="3"/>
                <c:pt idx="0">
                  <c:v>149509.31954112</c:v>
                </c:pt>
                <c:pt idx="1">
                  <c:v>314095.20912</c:v>
                </c:pt>
                <c:pt idx="2">
                  <c:v>714566.600748</c:v>
                </c:pt>
              </c:numCache>
            </c:numRef>
          </c:val>
        </c:ser>
        <c:gapWidth val="150"/>
        <c:overlap val="0"/>
        <c:axId val="94949260"/>
        <c:axId val="36304069"/>
      </c:barChart>
      <c:catAx>
        <c:axId val="949492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36304069"/>
        <c:crosses val="autoZero"/>
        <c:auto val="1"/>
        <c:lblAlgn val="ctr"/>
        <c:lblOffset val="100"/>
        <c:noMultiLvlLbl val="0"/>
      </c:catAx>
      <c:valAx>
        <c:axId val="363040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494926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Cost share by use case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1260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1260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1260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12600">
                <a:noFill/>
              </a:ln>
            </c:spPr>
          </c:dPt>
          <c:dPt>
            <c:idx val="4"/>
            <c:spPr>
              <a:solidFill>
                <a:srgbClr val="4BACC6"/>
              </a:solidFill>
              <a:ln w="12600">
                <a:noFill/>
              </a:ln>
            </c:spPr>
          </c:dPt>
          <c:dPt>
            <c:idx val="5"/>
            <c:spPr>
              <a:solidFill>
                <a:srgbClr val="F79646"/>
              </a:solidFill>
              <a:ln w="1260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</c:dLbls>
          <c:cat>
            <c:strRef>
              <c:f>Dashboard!$B$15:$B$20</c:f>
              <c:strCache>
                <c:ptCount val="6"/>
                <c:pt idx="0">
                  <c:v>Customer support assistant</c:v>
                </c:pt>
                <c:pt idx="1">
                  <c:v>Coding assistant (IDE)</c:v>
                </c:pt>
                <c:pt idx="2">
                  <c:v>Internal knowledge / RAG search</c:v>
                </c:pt>
                <c:pt idx="3">
                  <c:v>Doc summarization (batch)</c:v>
                </c:pt>
                <c:pt idx="4">
                  <c:v>Sales &amp; marketing content</c:v>
                </c:pt>
                <c:pt idx="5">
                  <c:v>Data / BI copilot</c:v>
                </c:pt>
              </c:strCache>
            </c:strRef>
          </c:cat>
          <c:val>
            <c:numRef>
              <c:f>Dashboard!$C$15:$C$20</c:f>
              <c:numCache>
                <c:formatCode>\$#,##0;"($"#,##0\);\-</c:formatCode>
                <c:ptCount val="6"/>
                <c:pt idx="0">
                  <c:v>2721.6</c:v>
                </c:pt>
                <c:pt idx="1">
                  <c:v>12715.5</c:v>
                </c:pt>
                <c:pt idx="2">
                  <c:v>1554</c:v>
                </c:pt>
                <c:pt idx="3">
                  <c:v>334.32</c:v>
                </c:pt>
                <c:pt idx="4">
                  <c:v>1186.164</c:v>
                </c:pt>
                <c:pt idx="5">
                  <c:v>2179.8</c:v>
                </c:pt>
              </c:numCache>
            </c:numRef>
          </c:val>
        </c:ser>
        <c:firstSliceAng val="0"/>
      </c:pie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17</xdr:row>
      <xdr:rowOff>0</xdr:rowOff>
    </xdr:from>
    <xdr:to>
      <xdr:col>6</xdr:col>
      <xdr:colOff>262080</xdr:colOff>
      <xdr:row>30</xdr:row>
      <xdr:rowOff>43200</xdr:rowOff>
    </xdr:to>
    <xdr:graphicFrame>
      <xdr:nvGraphicFramePr>
        <xdr:cNvPr id="1" name="Chart 1"/>
        <xdr:cNvGraphicFramePr/>
      </xdr:nvGraphicFramePr>
      <xdr:xfrm>
        <a:off x="141120" y="3268440"/>
        <a:ext cx="575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17</xdr:row>
      <xdr:rowOff>0</xdr:rowOff>
    </xdr:from>
    <xdr:to>
      <xdr:col>8</xdr:col>
      <xdr:colOff>151200</xdr:colOff>
      <xdr:row>30</xdr:row>
      <xdr:rowOff>43200</xdr:rowOff>
    </xdr:to>
    <xdr:graphicFrame>
      <xdr:nvGraphicFramePr>
        <xdr:cNvPr id="2" name="Chart 1"/>
        <xdr:cNvGraphicFramePr/>
      </xdr:nvGraphicFramePr>
      <xdr:xfrm>
        <a:off x="141120" y="3268440"/>
        <a:ext cx="719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15</xdr:row>
      <xdr:rowOff>0</xdr:rowOff>
    </xdr:from>
    <xdr:to>
      <xdr:col>4</xdr:col>
      <xdr:colOff>387720</xdr:colOff>
      <xdr:row>28</xdr:row>
      <xdr:rowOff>42840</xdr:rowOff>
    </xdr:to>
    <xdr:graphicFrame>
      <xdr:nvGraphicFramePr>
        <xdr:cNvPr id="3" name="Chart 1"/>
        <xdr:cNvGraphicFramePr/>
      </xdr:nvGraphicFramePr>
      <xdr:xfrm>
        <a:off x="141120" y="2887200"/>
        <a:ext cx="503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5</xdr:row>
      <xdr:rowOff>0</xdr:rowOff>
    </xdr:from>
    <xdr:to>
      <xdr:col>12</xdr:col>
      <xdr:colOff>38880</xdr:colOff>
      <xdr:row>15</xdr:row>
      <xdr:rowOff>174600</xdr:rowOff>
    </xdr:to>
    <xdr:graphicFrame>
      <xdr:nvGraphicFramePr>
        <xdr:cNvPr id="4" name="Chart 1"/>
        <xdr:cNvGraphicFramePr/>
      </xdr:nvGraphicFramePr>
      <xdr:xfrm>
        <a:off x="8035200" y="982440"/>
        <a:ext cx="43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6" min="3" style="0" width="22"/>
  </cols>
  <sheetData>
    <row r="2" customFormat="false" ht="17.35" hidden="false" customHeight="false" outlineLevel="0" collapsed="false">
      <c r="B2" s="1" t="s">
        <v>0</v>
      </c>
      <c r="C2" s="1"/>
      <c r="D2" s="1"/>
      <c r="E2" s="1"/>
      <c r="F2" s="1"/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2" hidden="false" customHeight="true" outlineLevel="0" collapsed="false">
      <c r="B6" s="4" t="s">
        <v>3</v>
      </c>
      <c r="C6" s="5" t="s">
        <v>4</v>
      </c>
      <c r="D6" s="5"/>
      <c r="E6" s="5"/>
      <c r="F6" s="5"/>
    </row>
    <row r="7" customFormat="false" ht="42" hidden="false" customHeight="true" outlineLevel="0" collapsed="false">
      <c r="B7" s="4" t="s">
        <v>5</v>
      </c>
      <c r="C7" s="5" t="s">
        <v>6</v>
      </c>
      <c r="D7" s="5"/>
      <c r="E7" s="5"/>
      <c r="F7" s="5"/>
    </row>
    <row r="8" customFormat="false" ht="42" hidden="false" customHeight="true" outlineLevel="0" collapsed="false">
      <c r="B8" s="4" t="s">
        <v>7</v>
      </c>
      <c r="C8" s="5" t="s">
        <v>8</v>
      </c>
      <c r="D8" s="5"/>
      <c r="E8" s="5"/>
      <c r="F8" s="5"/>
    </row>
    <row r="9" customFormat="false" ht="42" hidden="false" customHeight="true" outlineLevel="0" collapsed="false">
      <c r="B9" s="4" t="s">
        <v>9</v>
      </c>
      <c r="C9" s="5" t="s">
        <v>10</v>
      </c>
      <c r="D9" s="5"/>
      <c r="E9" s="5"/>
      <c r="F9" s="5"/>
    </row>
    <row r="10" customFormat="false" ht="42" hidden="false" customHeight="true" outlineLevel="0" collapsed="false">
      <c r="B10" s="4" t="s">
        <v>11</v>
      </c>
      <c r="C10" s="5" t="s">
        <v>12</v>
      </c>
      <c r="D10" s="5"/>
      <c r="E10" s="5"/>
      <c r="F10" s="5"/>
    </row>
    <row r="11" customFormat="false" ht="42" hidden="false" customHeight="true" outlineLevel="0" collapsed="false">
      <c r="B11" s="4" t="s">
        <v>13</v>
      </c>
      <c r="C11" s="5" t="s">
        <v>14</v>
      </c>
      <c r="D11" s="5"/>
      <c r="E11" s="5"/>
      <c r="F11" s="5"/>
    </row>
    <row r="12" customFormat="false" ht="42" hidden="false" customHeight="true" outlineLevel="0" collapsed="false">
      <c r="B12" s="4" t="s">
        <v>15</v>
      </c>
      <c r="C12" s="5" t="s">
        <v>16</v>
      </c>
      <c r="D12" s="5"/>
      <c r="E12" s="5"/>
      <c r="F12" s="5"/>
    </row>
    <row r="14" customFormat="false" ht="15" hidden="false" customHeight="false" outlineLevel="0" collapsed="false">
      <c r="B14" s="3" t="s">
        <v>17</v>
      </c>
    </row>
    <row r="15" customFormat="false" ht="15" hidden="false" customHeight="false" outlineLevel="0" collapsed="false">
      <c r="B15" s="6" t="s">
        <v>18</v>
      </c>
      <c r="C15" s="7" t="s">
        <v>19</v>
      </c>
      <c r="D15" s="7"/>
      <c r="E15" s="7"/>
      <c r="F15" s="7"/>
    </row>
    <row r="16" customFormat="false" ht="15" hidden="false" customHeight="false" outlineLevel="0" collapsed="false">
      <c r="B16" s="8" t="s">
        <v>20</v>
      </c>
      <c r="C16" s="7" t="s">
        <v>21</v>
      </c>
      <c r="D16" s="7"/>
      <c r="E16" s="7"/>
      <c r="F16" s="7"/>
    </row>
    <row r="17" customFormat="false" ht="15" hidden="false" customHeight="false" outlineLevel="0" collapsed="false">
      <c r="B17" s="9" t="s">
        <v>22</v>
      </c>
      <c r="C17" s="7" t="s">
        <v>23</v>
      </c>
      <c r="D17" s="7"/>
      <c r="E17" s="7"/>
      <c r="F17" s="7"/>
    </row>
    <row r="18" customFormat="false" ht="15" hidden="false" customHeight="false" outlineLevel="0" collapsed="false">
      <c r="B18" s="10" t="s">
        <v>24</v>
      </c>
      <c r="C18" s="7" t="s">
        <v>25</v>
      </c>
      <c r="D18" s="7"/>
      <c r="E18" s="7"/>
      <c r="F18" s="7"/>
    </row>
    <row r="20" customFormat="false" ht="15" hidden="false" customHeight="false" outlineLevel="0" collapsed="false">
      <c r="B20" s="3" t="s">
        <v>26</v>
      </c>
    </row>
    <row r="21" customFormat="false" ht="30" hidden="false" customHeight="true" outlineLevel="0" collapsed="false">
      <c r="B21" s="5" t="s">
        <v>27</v>
      </c>
      <c r="C21" s="5"/>
      <c r="D21" s="5"/>
      <c r="E21" s="5"/>
      <c r="F21" s="5"/>
    </row>
    <row r="23" customFormat="false" ht="15" hidden="false" customHeight="false" outlineLevel="0" collapsed="false">
      <c r="B23" s="4" t="s">
        <v>28</v>
      </c>
    </row>
    <row r="24" customFormat="false" ht="15" hidden="false" customHeight="false" outlineLevel="0" collapsed="false">
      <c r="B24" s="11" t="s">
        <v>29</v>
      </c>
      <c r="C24" s="11"/>
      <c r="D24" s="11"/>
      <c r="E24" s="11"/>
      <c r="F24" s="11"/>
    </row>
    <row r="25" customFormat="false" ht="15" hidden="false" customHeight="false" outlineLevel="0" collapsed="false">
      <c r="B25" s="11" t="s">
        <v>30</v>
      </c>
      <c r="C25" s="11"/>
      <c r="D25" s="11"/>
      <c r="E25" s="11"/>
      <c r="F25" s="11"/>
    </row>
  </sheetData>
  <mergeCells count="15">
    <mergeCell ref="B2:F2"/>
    <mergeCell ref="C6:F6"/>
    <mergeCell ref="C7:F7"/>
    <mergeCell ref="C8:F8"/>
    <mergeCell ref="C9:F9"/>
    <mergeCell ref="C10:F10"/>
    <mergeCell ref="C11:F11"/>
    <mergeCell ref="C12:F12"/>
    <mergeCell ref="C15:F15"/>
    <mergeCell ref="C16:F16"/>
    <mergeCell ref="C17:F17"/>
    <mergeCell ref="C18:F18"/>
    <mergeCell ref="B21:F21"/>
    <mergeCell ref="B24:F24"/>
    <mergeCell ref="B25:F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4" min="3" style="0" width="16"/>
    <col collapsed="false" customWidth="true" hidden="false" outlineLevel="0" max="6" min="5" style="0" width="14"/>
    <col collapsed="false" customWidth="true" hidden="false" outlineLevel="0" max="7" min="7" style="0" width="32"/>
  </cols>
  <sheetData>
    <row r="2" customFormat="false" ht="17.35" hidden="false" customHeight="false" outlineLevel="0" collapsed="false">
      <c r="B2" s="1" t="s">
        <v>31</v>
      </c>
      <c r="C2" s="1"/>
      <c r="D2" s="1"/>
      <c r="E2" s="1"/>
      <c r="F2" s="1"/>
      <c r="G2" s="1"/>
    </row>
    <row r="3" customFormat="false" ht="15" hidden="false" customHeight="false" outlineLevel="0" collapsed="false">
      <c r="B3" s="12" t="s">
        <v>32</v>
      </c>
    </row>
    <row r="5" customFormat="false" ht="15" hidden="false" customHeight="false" outlineLevel="0" collapsed="false">
      <c r="B5" s="13" t="s">
        <v>33</v>
      </c>
      <c r="C5" s="13" t="s">
        <v>34</v>
      </c>
      <c r="D5" s="13" t="s">
        <v>35</v>
      </c>
      <c r="E5" s="13"/>
      <c r="F5" s="13"/>
      <c r="G5" s="13" t="s">
        <v>36</v>
      </c>
    </row>
    <row r="6" customFormat="false" ht="15" hidden="false" customHeight="false" outlineLevel="0" collapsed="false">
      <c r="B6" s="14" t="s">
        <v>37</v>
      </c>
      <c r="C6" s="15" t="n">
        <v>5</v>
      </c>
      <c r="D6" s="15" t="n">
        <v>25</v>
      </c>
      <c r="G6" s="16" t="s">
        <v>38</v>
      </c>
    </row>
    <row r="7" customFormat="false" ht="15" hidden="false" customHeight="false" outlineLevel="0" collapsed="false">
      <c r="B7" s="14" t="s">
        <v>39</v>
      </c>
      <c r="C7" s="15" t="n">
        <v>3</v>
      </c>
      <c r="D7" s="15" t="n">
        <v>15</v>
      </c>
      <c r="G7" s="16" t="s">
        <v>40</v>
      </c>
    </row>
    <row r="8" customFormat="false" ht="15" hidden="false" customHeight="false" outlineLevel="0" collapsed="false">
      <c r="B8" s="14" t="s">
        <v>41</v>
      </c>
      <c r="C8" s="15" t="n">
        <v>1</v>
      </c>
      <c r="D8" s="15" t="n">
        <v>5</v>
      </c>
      <c r="G8" s="16" t="s">
        <v>42</v>
      </c>
    </row>
    <row r="9" customFormat="false" ht="15" hidden="false" customHeight="false" outlineLevel="0" collapsed="false">
      <c r="B9" s="14" t="s">
        <v>43</v>
      </c>
      <c r="C9" s="15" t="n">
        <v>0.1</v>
      </c>
      <c r="D9" s="15" t="n">
        <v>0.4</v>
      </c>
      <c r="G9" s="16" t="s">
        <v>44</v>
      </c>
    </row>
    <row r="10" customFormat="false" ht="15" hidden="false" customHeight="false" outlineLevel="0" collapsed="false">
      <c r="B10" s="14" t="s">
        <v>45</v>
      </c>
      <c r="C10" s="15" t="n">
        <v>0</v>
      </c>
      <c r="D10" s="15" t="n">
        <v>0</v>
      </c>
      <c r="G10" s="16" t="s">
        <v>46</v>
      </c>
    </row>
    <row r="11" customFormat="false" ht="15" hidden="false" customHeight="false" outlineLevel="0" collapsed="false">
      <c r="B11" s="14" t="s">
        <v>47</v>
      </c>
      <c r="C11" s="15" t="n">
        <v>0</v>
      </c>
      <c r="D11" s="15" t="n">
        <v>0</v>
      </c>
      <c r="G11" s="16" t="s">
        <v>46</v>
      </c>
    </row>
    <row r="13" customFormat="false" ht="15" hidden="false" customHeight="false" outlineLevel="0" collapsed="false">
      <c r="B13" s="3" t="s">
        <v>48</v>
      </c>
    </row>
    <row r="14" customFormat="false" ht="15" hidden="false" customHeight="false" outlineLevel="0" collapsed="false">
      <c r="B14" s="17" t="s">
        <v>49</v>
      </c>
      <c r="C14" s="18" t="n">
        <v>0.5</v>
      </c>
      <c r="G14" s="16" t="s">
        <v>50</v>
      </c>
    </row>
    <row r="15" customFormat="false" ht="15" hidden="false" customHeight="false" outlineLevel="0" collapsed="false">
      <c r="B15" s="17" t="s">
        <v>51</v>
      </c>
      <c r="C15" s="18" t="n">
        <v>0.9</v>
      </c>
      <c r="G15" s="16" t="s">
        <v>52</v>
      </c>
    </row>
  </sheetData>
  <mergeCells count="1">
    <mergeCell ref="B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3" min="3" style="0" width="16"/>
    <col collapsed="false" customWidth="true" hidden="false" outlineLevel="0" max="4" min="4" style="0" width="44"/>
  </cols>
  <sheetData>
    <row r="2" customFormat="false" ht="17.35" hidden="false" customHeight="false" outlineLevel="0" collapsed="false">
      <c r="B2" s="1" t="s">
        <v>53</v>
      </c>
      <c r="C2" s="1"/>
      <c r="D2" s="1"/>
    </row>
    <row r="3" customFormat="false" ht="15" hidden="false" customHeight="false" outlineLevel="0" collapsed="false">
      <c r="B3" s="2" t="s">
        <v>54</v>
      </c>
    </row>
    <row r="5" customFormat="false" ht="15" hidden="false" customHeight="false" outlineLevel="0" collapsed="false">
      <c r="B5" s="3" t="s">
        <v>55</v>
      </c>
    </row>
    <row r="6" customFormat="false" ht="15" hidden="false" customHeight="false" outlineLevel="0" collapsed="false">
      <c r="B6" s="19" t="s">
        <v>56</v>
      </c>
      <c r="C6" s="20" t="n">
        <v>5000</v>
      </c>
      <c r="D6" s="16" t="s">
        <v>57</v>
      </c>
    </row>
    <row r="7" customFormat="false" ht="15" hidden="false" customHeight="false" outlineLevel="0" collapsed="false">
      <c r="B7" s="19" t="s">
        <v>58</v>
      </c>
      <c r="C7" s="21" t="n">
        <v>21</v>
      </c>
      <c r="D7" s="16" t="s">
        <v>59</v>
      </c>
    </row>
    <row r="8" customFormat="false" ht="15" hidden="false" customHeight="false" outlineLevel="0" collapsed="false">
      <c r="B8" s="19" t="s">
        <v>60</v>
      </c>
      <c r="C8" s="21" t="n">
        <v>12</v>
      </c>
      <c r="D8" s="16" t="s">
        <v>61</v>
      </c>
    </row>
    <row r="10" customFormat="false" ht="15" hidden="false" customHeight="false" outlineLevel="0" collapsed="false">
      <c r="B10" s="3" t="s">
        <v>62</v>
      </c>
    </row>
    <row r="11" customFormat="false" ht="15" hidden="false" customHeight="false" outlineLevel="0" collapsed="false">
      <c r="B11" s="19" t="s">
        <v>63</v>
      </c>
      <c r="C11" s="18" t="n">
        <v>0.1</v>
      </c>
      <c r="D11" s="16" t="s">
        <v>64</v>
      </c>
    </row>
    <row r="12" customFormat="false" ht="15" hidden="false" customHeight="false" outlineLevel="0" collapsed="false">
      <c r="B12" s="19" t="s">
        <v>65</v>
      </c>
      <c r="C12" s="20" t="n">
        <v>12</v>
      </c>
      <c r="D12" s="16" t="s">
        <v>66</v>
      </c>
    </row>
    <row r="14" customFormat="false" ht="15" hidden="false" customHeight="false" outlineLevel="0" collapsed="false">
      <c r="B14" s="3" t="s">
        <v>67</v>
      </c>
    </row>
    <row r="15" customFormat="false" ht="15" hidden="false" customHeight="false" outlineLevel="0" collapsed="false">
      <c r="B15" s="19" t="s">
        <v>68</v>
      </c>
      <c r="C15" s="18" t="n">
        <v>-0.2</v>
      </c>
      <c r="D15" s="16" t="s">
        <v>69</v>
      </c>
    </row>
    <row r="16" customFormat="false" ht="15" hidden="false" customHeight="false" outlineLevel="0" collapsed="false">
      <c r="B16" s="19" t="s">
        <v>70</v>
      </c>
      <c r="C16" s="18" t="n">
        <v>0.15</v>
      </c>
      <c r="D16" s="16" t="s">
        <v>71</v>
      </c>
    </row>
    <row r="18" customFormat="false" ht="15" hidden="false" customHeight="false" outlineLevel="0" collapsed="false">
      <c r="B18" s="3" t="s">
        <v>72</v>
      </c>
    </row>
    <row r="19" customFormat="false" ht="15" hidden="false" customHeight="false" outlineLevel="0" collapsed="false">
      <c r="B19" s="19" t="s">
        <v>73</v>
      </c>
      <c r="C19" s="18" t="n">
        <v>0.15</v>
      </c>
      <c r="D19" s="16" t="s">
        <v>74</v>
      </c>
    </row>
    <row r="20" customFormat="false" ht="15" hidden="false" customHeight="false" outlineLevel="0" collapsed="false">
      <c r="B20" s="19" t="s">
        <v>75</v>
      </c>
      <c r="C20" s="18" t="n">
        <v>0.1</v>
      </c>
      <c r="D20" s="16" t="s">
        <v>76</v>
      </c>
    </row>
  </sheetData>
  <mergeCells count="1">
    <mergeCell ref="B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11"/>
    <col collapsed="false" customWidth="true" hidden="false" outlineLevel="0" max="5" min="5" style="0" width="15"/>
    <col collapsed="false" customWidth="true" hidden="false" outlineLevel="0" max="7" min="6" style="0" width="14"/>
    <col collapsed="false" customWidth="true" hidden="false" outlineLevel="0" max="8" min="8" style="0" width="12"/>
    <col collapsed="false" customWidth="true" hidden="false" outlineLevel="0" max="9" min="9" style="0" width="11"/>
    <col collapsed="false" customWidth="true" hidden="false" outlineLevel="0" max="12" min="10" style="0" width="15"/>
  </cols>
  <sheetData>
    <row r="2" customFormat="false" ht="17.35" hidden="false" customHeight="false" outlineLevel="0" collapsed="false">
      <c r="B2" s="1" t="s">
        <v>77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5" hidden="false" customHeight="false" outlineLevel="0" collapsed="false">
      <c r="B3" s="2" t="s">
        <v>78</v>
      </c>
    </row>
    <row r="5" customFormat="false" ht="23.85" hidden="false" customHeight="false" outlineLevel="0" collapsed="false">
      <c r="B5" s="13" t="s">
        <v>79</v>
      </c>
      <c r="C5" s="13" t="s">
        <v>80</v>
      </c>
      <c r="D5" s="13" t="s">
        <v>81</v>
      </c>
      <c r="E5" s="13" t="s">
        <v>82</v>
      </c>
      <c r="F5" s="13" t="s">
        <v>83</v>
      </c>
      <c r="G5" s="13" t="s">
        <v>84</v>
      </c>
      <c r="H5" s="13" t="s">
        <v>85</v>
      </c>
      <c r="I5" s="13" t="s">
        <v>86</v>
      </c>
      <c r="J5" s="13" t="s">
        <v>87</v>
      </c>
      <c r="K5" s="13" t="s">
        <v>88</v>
      </c>
      <c r="L5" s="13" t="s">
        <v>89</v>
      </c>
    </row>
    <row r="6" customFormat="false" ht="15" hidden="false" customHeight="false" outlineLevel="0" collapsed="false">
      <c r="B6" s="14" t="s">
        <v>90</v>
      </c>
      <c r="C6" s="22" t="s">
        <v>39</v>
      </c>
      <c r="D6" s="21" t="n">
        <v>1500</v>
      </c>
      <c r="E6" s="23" t="n">
        <v>8</v>
      </c>
      <c r="F6" s="21" t="n">
        <v>2500</v>
      </c>
      <c r="G6" s="21" t="n">
        <v>400</v>
      </c>
      <c r="H6" s="24" t="n">
        <v>0.4</v>
      </c>
      <c r="I6" s="24" t="n">
        <v>0</v>
      </c>
      <c r="J6" s="25" t="n">
        <f aca="false">D6*E6*Assumptions!$C$7*(F6+G6)/1000000</f>
        <v>730.8</v>
      </c>
      <c r="K6" s="26" t="n">
        <f aca="false">(VLOOKUP($C6,'Rate Card'!$B$6:$D$11,2,FALSE())*(1-H6*'Rate Card'!$C$15)*F6/(F6+G6)+VLOOKUP($C6,'Rate Card'!$B$6:$D$11,3,FALSE())*G6/(F6+G6))*(1-I6*'Rate Card'!$C$14)</f>
        <v>3.72413793103448</v>
      </c>
      <c r="L6" s="27" t="n">
        <f aca="false">J6*K6</f>
        <v>2721.6</v>
      </c>
    </row>
    <row r="7" customFormat="false" ht="15" hidden="false" customHeight="false" outlineLevel="0" collapsed="false">
      <c r="B7" s="14" t="s">
        <v>91</v>
      </c>
      <c r="C7" s="22" t="s">
        <v>37</v>
      </c>
      <c r="D7" s="21" t="n">
        <v>800</v>
      </c>
      <c r="E7" s="23" t="n">
        <v>25</v>
      </c>
      <c r="F7" s="21" t="n">
        <v>3500</v>
      </c>
      <c r="G7" s="21" t="n">
        <v>700</v>
      </c>
      <c r="H7" s="24" t="n">
        <v>0.3</v>
      </c>
      <c r="I7" s="24" t="n">
        <v>0</v>
      </c>
      <c r="J7" s="25" t="n">
        <f aca="false">D7*E7*Assumptions!$C$7*(F7+G7)/1000000</f>
        <v>1764</v>
      </c>
      <c r="K7" s="26" t="n">
        <f aca="false">(VLOOKUP($C7,'Rate Card'!$B$6:$D$11,2,FALSE())*(1-H7*'Rate Card'!$C$15)*F7/(F7+G7)+VLOOKUP($C7,'Rate Card'!$B$6:$D$11,3,FALSE())*G7/(F7+G7))*(1-I7*'Rate Card'!$C$14)</f>
        <v>7.20833333333333</v>
      </c>
      <c r="L7" s="27" t="n">
        <f aca="false">J7*K7</f>
        <v>12715.5</v>
      </c>
    </row>
    <row r="8" customFormat="false" ht="15" hidden="false" customHeight="false" outlineLevel="0" collapsed="false">
      <c r="B8" s="14" t="s">
        <v>92</v>
      </c>
      <c r="C8" s="22" t="s">
        <v>41</v>
      </c>
      <c r="D8" s="21" t="n">
        <v>4000</v>
      </c>
      <c r="E8" s="23" t="n">
        <v>5</v>
      </c>
      <c r="F8" s="21" t="n">
        <v>4000</v>
      </c>
      <c r="G8" s="21" t="n">
        <v>300</v>
      </c>
      <c r="H8" s="24" t="n">
        <v>0.5</v>
      </c>
      <c r="I8" s="24" t="n">
        <v>0</v>
      </c>
      <c r="J8" s="25" t="n">
        <f aca="false">D8*E8*Assumptions!$C$7*(F8+G8)/1000000</f>
        <v>1806</v>
      </c>
      <c r="K8" s="26" t="n">
        <f aca="false">(VLOOKUP($C8,'Rate Card'!$B$6:$D$11,2,FALSE())*(1-H8*'Rate Card'!$C$15)*F8/(F8+G8)+VLOOKUP($C8,'Rate Card'!$B$6:$D$11,3,FALSE())*G8/(F8+G8))*(1-I8*'Rate Card'!$C$14)</f>
        <v>0.86046511627907</v>
      </c>
      <c r="L8" s="27" t="n">
        <f aca="false">J8*K8</f>
        <v>1554</v>
      </c>
    </row>
    <row r="9" customFormat="false" ht="15" hidden="false" customHeight="false" outlineLevel="0" collapsed="false">
      <c r="B9" s="14" t="s">
        <v>93</v>
      </c>
      <c r="C9" s="22" t="s">
        <v>41</v>
      </c>
      <c r="D9" s="21" t="n">
        <v>2000</v>
      </c>
      <c r="E9" s="23" t="n">
        <v>2</v>
      </c>
      <c r="F9" s="21" t="n">
        <v>6000</v>
      </c>
      <c r="G9" s="21" t="n">
        <v>500</v>
      </c>
      <c r="H9" s="24" t="n">
        <v>0.1</v>
      </c>
      <c r="I9" s="24" t="n">
        <v>1</v>
      </c>
      <c r="J9" s="25" t="n">
        <f aca="false">D9*E9*Assumptions!$C$7*(F9+G9)/1000000</f>
        <v>546</v>
      </c>
      <c r="K9" s="26" t="n">
        <f aca="false">(VLOOKUP($C9,'Rate Card'!$B$6:$D$11,2,FALSE())*(1-H9*'Rate Card'!$C$15)*F9/(F9+G9)+VLOOKUP($C9,'Rate Card'!$B$6:$D$11,3,FALSE())*G9/(F9+G9))*(1-I9*'Rate Card'!$C$14)</f>
        <v>0.612307692307692</v>
      </c>
      <c r="L9" s="27" t="n">
        <f aca="false">J9*K9</f>
        <v>334.32</v>
      </c>
    </row>
    <row r="10" customFormat="false" ht="15" hidden="false" customHeight="false" outlineLevel="0" collapsed="false">
      <c r="B10" s="14" t="s">
        <v>94</v>
      </c>
      <c r="C10" s="22" t="s">
        <v>39</v>
      </c>
      <c r="D10" s="21" t="n">
        <v>600</v>
      </c>
      <c r="E10" s="23" t="n">
        <v>6</v>
      </c>
      <c r="F10" s="21" t="n">
        <v>1500</v>
      </c>
      <c r="G10" s="21" t="n">
        <v>800</v>
      </c>
      <c r="H10" s="24" t="n">
        <v>0.2</v>
      </c>
      <c r="I10" s="24" t="n">
        <v>0</v>
      </c>
      <c r="J10" s="25" t="n">
        <f aca="false">D10*E10*Assumptions!$C$7*(F10+G10)/1000000</f>
        <v>173.88</v>
      </c>
      <c r="K10" s="26" t="n">
        <f aca="false">(VLOOKUP($C10,'Rate Card'!$B$6:$D$11,2,FALSE())*(1-H10*'Rate Card'!$C$15)*F10/(F10+G10)+VLOOKUP($C10,'Rate Card'!$B$6:$D$11,3,FALSE())*G10/(F10+G10))*(1-I10*'Rate Card'!$C$14)</f>
        <v>6.82173913043478</v>
      </c>
      <c r="L10" s="27" t="n">
        <f aca="false">J10*K10</f>
        <v>1186.164</v>
      </c>
    </row>
    <row r="11" customFormat="false" ht="15" hidden="false" customHeight="false" outlineLevel="0" collapsed="false">
      <c r="B11" s="14" t="s">
        <v>95</v>
      </c>
      <c r="C11" s="22" t="s">
        <v>37</v>
      </c>
      <c r="D11" s="21" t="n">
        <v>400</v>
      </c>
      <c r="E11" s="23" t="n">
        <v>10</v>
      </c>
      <c r="F11" s="21" t="n">
        <v>3000</v>
      </c>
      <c r="G11" s="21" t="n">
        <v>600</v>
      </c>
      <c r="H11" s="24" t="n">
        <v>0.3</v>
      </c>
      <c r="I11" s="24" t="n">
        <v>0</v>
      </c>
      <c r="J11" s="25" t="n">
        <f aca="false">D11*E11*Assumptions!$C$7*(F11+G11)/1000000</f>
        <v>302.4</v>
      </c>
      <c r="K11" s="26" t="n">
        <f aca="false">(VLOOKUP($C11,'Rate Card'!$B$6:$D$11,2,FALSE())*(1-H11*'Rate Card'!$C$15)*F11/(F11+G11)+VLOOKUP($C11,'Rate Card'!$B$6:$D$11,3,FALSE())*G11/(F11+G11))*(1-I11*'Rate Card'!$C$14)</f>
        <v>7.20833333333333</v>
      </c>
      <c r="L11" s="27" t="n">
        <f aca="false">J11*K11</f>
        <v>2179.8</v>
      </c>
    </row>
    <row r="12" customFormat="false" ht="15" hidden="false" customHeight="false" outlineLevel="0" collapsed="false">
      <c r="B12" s="28" t="s">
        <v>96</v>
      </c>
      <c r="C12" s="29"/>
      <c r="D12" s="29"/>
      <c r="E12" s="29"/>
      <c r="F12" s="29"/>
      <c r="G12" s="29"/>
      <c r="H12" s="29"/>
      <c r="I12" s="29"/>
      <c r="J12" s="30" t="n">
        <f aca="false">SUM(J6:J11)</f>
        <v>5323.08</v>
      </c>
      <c r="K12" s="29"/>
      <c r="L12" s="31" t="n">
        <f aca="false">SUM(L6:L11)</f>
        <v>20691.384</v>
      </c>
    </row>
    <row r="14" customFormat="false" ht="15" hidden="false" customHeight="false" outlineLevel="0" collapsed="false">
      <c r="B14" s="4" t="s">
        <v>97</v>
      </c>
      <c r="L14" s="32" t="n">
        <f aca="false">L12*(1+Assumptions!$C$19)*(1+Assumptions!$C$20)</f>
        <v>26174.60076</v>
      </c>
    </row>
    <row r="15" customFormat="false" ht="15" hidden="false" customHeight="false" outlineLevel="0" collapsed="false">
      <c r="B15" s="17" t="s">
        <v>98</v>
      </c>
      <c r="L15" s="27" t="n">
        <f aca="false">L14*12</f>
        <v>314095.20912</v>
      </c>
    </row>
  </sheetData>
  <mergeCells count="1">
    <mergeCell ref="B2:L2"/>
  </mergeCells>
  <dataValidations count="1">
    <dataValidation allowBlank="true" errorStyle="stop" operator="between" showDropDown="false" showErrorMessage="false" showInputMessage="false" sqref="C6:C11" type="list">
      <formula1>'Rate Card'!$B$6:$B$11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5" min="4" style="0" width="18"/>
    <col collapsed="false" customWidth="true" hidden="false" outlineLevel="0" max="8" min="6" style="0" width="16"/>
  </cols>
  <sheetData>
    <row r="2" customFormat="false" ht="17.35" hidden="false" customHeight="false" outlineLevel="0" collapsed="false">
      <c r="B2" s="1" t="s">
        <v>99</v>
      </c>
      <c r="C2" s="1"/>
      <c r="D2" s="1"/>
      <c r="E2" s="1"/>
      <c r="F2" s="1"/>
      <c r="G2" s="1"/>
      <c r="H2" s="1"/>
    </row>
    <row r="3" customFormat="false" ht="15" hidden="false" customHeight="false" outlineLevel="0" collapsed="false">
      <c r="B3" s="2" t="s">
        <v>100</v>
      </c>
    </row>
    <row r="5" customFormat="false" ht="23.85" hidden="false" customHeight="false" outlineLevel="0" collapsed="false">
      <c r="B5" s="13" t="s">
        <v>101</v>
      </c>
      <c r="C5" s="13" t="s">
        <v>102</v>
      </c>
      <c r="D5" s="13" t="s">
        <v>103</v>
      </c>
      <c r="E5" s="13" t="s">
        <v>104</v>
      </c>
      <c r="F5" s="13" t="s">
        <v>105</v>
      </c>
      <c r="G5" s="13" t="s">
        <v>87</v>
      </c>
      <c r="H5" s="13" t="s">
        <v>89</v>
      </c>
    </row>
    <row r="6" customFormat="false" ht="15" hidden="false" customHeight="false" outlineLevel="0" collapsed="false">
      <c r="B6" s="14" t="s">
        <v>106</v>
      </c>
      <c r="C6" s="21" t="n">
        <v>500</v>
      </c>
      <c r="D6" s="24" t="n">
        <v>0.8</v>
      </c>
      <c r="E6" s="21" t="n">
        <v>90000</v>
      </c>
      <c r="F6" s="22" t="s">
        <v>37</v>
      </c>
      <c r="G6" s="25" t="n">
        <f aca="false">C6*D6*E6*Assumptions!$C$7/1000000</f>
        <v>756</v>
      </c>
      <c r="H6" s="33" t="n">
        <f aca="false">G6*(VLOOKUP($F6,'Rate Card'!$B$6:$D$11,2,FALSE())*0.7+VLOOKUP($F6,'Rate Card'!$B$6:$D$11,3,FALSE())*0.3)</f>
        <v>8316</v>
      </c>
    </row>
    <row r="7" customFormat="false" ht="15" hidden="false" customHeight="false" outlineLevel="0" collapsed="false">
      <c r="B7" s="14" t="s">
        <v>107</v>
      </c>
      <c r="C7" s="21" t="n">
        <v>2500</v>
      </c>
      <c r="D7" s="24" t="n">
        <v>0.5</v>
      </c>
      <c r="E7" s="21" t="n">
        <v>25000</v>
      </c>
      <c r="F7" s="22" t="s">
        <v>39</v>
      </c>
      <c r="G7" s="25" t="n">
        <f aca="false">C7*D7*E7*Assumptions!$C$7/1000000</f>
        <v>656.25</v>
      </c>
      <c r="H7" s="33" t="n">
        <f aca="false">G7*(VLOOKUP($F7,'Rate Card'!$B$6:$D$11,2,FALSE())*0.7+VLOOKUP($F7,'Rate Card'!$B$6:$D$11,3,FALSE())*0.3)</f>
        <v>4331.25</v>
      </c>
    </row>
    <row r="8" customFormat="false" ht="15" hidden="false" customHeight="false" outlineLevel="0" collapsed="false">
      <c r="B8" s="14" t="s">
        <v>108</v>
      </c>
      <c r="C8" s="21" t="n">
        <v>2000</v>
      </c>
      <c r="D8" s="24" t="n">
        <v>0.3</v>
      </c>
      <c r="E8" s="21" t="n">
        <v>8000</v>
      </c>
      <c r="F8" s="22" t="s">
        <v>41</v>
      </c>
      <c r="G8" s="25" t="n">
        <f aca="false">C8*D8*E8*Assumptions!$C$7/1000000</f>
        <v>100.8</v>
      </c>
      <c r="H8" s="33" t="n">
        <f aca="false">G8*(VLOOKUP($F8,'Rate Card'!$B$6:$D$11,2,FALSE())*0.7+VLOOKUP($F8,'Rate Card'!$B$6:$D$11,3,FALSE())*0.3)</f>
        <v>221.76</v>
      </c>
    </row>
    <row r="9" customFormat="false" ht="15" hidden="false" customHeight="false" outlineLevel="0" collapsed="false">
      <c r="B9" s="28" t="s">
        <v>109</v>
      </c>
      <c r="C9" s="29"/>
      <c r="D9" s="29"/>
      <c r="E9" s="29"/>
      <c r="F9" s="29"/>
      <c r="G9" s="30" t="n">
        <f aca="false">SUM(G6:G8)</f>
        <v>1513.05</v>
      </c>
      <c r="H9" s="31" t="n">
        <f aca="false">SUM(H6:H8)</f>
        <v>12869.01</v>
      </c>
    </row>
    <row r="11" customFormat="false" ht="15" hidden="false" customHeight="false" outlineLevel="0" collapsed="false">
      <c r="B11" s="17" t="s">
        <v>110</v>
      </c>
      <c r="H11" s="27" t="n">
        <f aca="false">H9</f>
        <v>12869.01</v>
      </c>
    </row>
    <row r="12" customFormat="false" ht="15" hidden="false" customHeight="false" outlineLevel="0" collapsed="false">
      <c r="B12" s="17" t="s">
        <v>111</v>
      </c>
      <c r="H12" s="33" t="n">
        <f aca="false">'Bottom-Up'!$L$12</f>
        <v>20691.384</v>
      </c>
    </row>
    <row r="13" customFormat="false" ht="15" hidden="false" customHeight="false" outlineLevel="0" collapsed="false">
      <c r="B13" s="4" t="s">
        <v>112</v>
      </c>
      <c r="H13" s="34" t="n">
        <f aca="false">H11/H12-1</f>
        <v>-0.378049820157028</v>
      </c>
    </row>
    <row r="14" customFormat="false" ht="15" hidden="false" customHeight="false" outlineLevel="0" collapsed="false">
      <c r="B14" s="35" t="s">
        <v>113</v>
      </c>
      <c r="C14" s="35"/>
      <c r="D14" s="35"/>
      <c r="E14" s="35"/>
      <c r="F14" s="35"/>
      <c r="G14" s="35"/>
      <c r="H14" s="35"/>
    </row>
  </sheetData>
  <mergeCells count="2">
    <mergeCell ref="B2:H2"/>
    <mergeCell ref="B14:H14"/>
  </mergeCells>
  <dataValidations count="1">
    <dataValidation allowBlank="true" errorStyle="stop" operator="between" showDropDown="false" showErrorMessage="false" showInputMessage="false" sqref="F6:F8" type="list">
      <formula1>'Rate Card'!$B$6:$B$11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14" min="3" style="0" width="11"/>
    <col collapsed="false" customWidth="true" hidden="false" outlineLevel="0" max="15" min="15" style="0" width="13"/>
  </cols>
  <sheetData>
    <row r="2" customFormat="false" ht="17.35" hidden="false" customHeight="false" outlineLevel="0" collapsed="false">
      <c r="B2" s="1" t="s">
        <v>114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15" hidden="false" customHeight="false" outlineLevel="0" collapsed="false">
      <c r="B3" s="2" t="s">
        <v>115</v>
      </c>
    </row>
    <row r="5" customFormat="false" ht="15" hidden="false" customHeight="false" outlineLevel="0" collapsed="false">
      <c r="B5" s="36" t="s">
        <v>116</v>
      </c>
      <c r="C5" s="37" t="n">
        <v>1</v>
      </c>
      <c r="D5" s="37" t="n">
        <v>2</v>
      </c>
      <c r="E5" s="37" t="n">
        <v>3</v>
      </c>
      <c r="F5" s="37" t="n">
        <v>4</v>
      </c>
      <c r="G5" s="37" t="n">
        <v>5</v>
      </c>
      <c r="H5" s="37" t="n">
        <v>6</v>
      </c>
      <c r="I5" s="37" t="n">
        <v>7</v>
      </c>
      <c r="J5" s="37" t="n">
        <v>8</v>
      </c>
      <c r="K5" s="37" t="n">
        <v>9</v>
      </c>
      <c r="L5" s="37" t="n">
        <v>10</v>
      </c>
      <c r="M5" s="37" t="n">
        <v>11</v>
      </c>
      <c r="N5" s="37" t="n">
        <v>12</v>
      </c>
      <c r="O5" s="38" t="s">
        <v>117</v>
      </c>
    </row>
    <row r="6" customFormat="false" ht="15" hidden="false" customHeight="false" outlineLevel="0" collapsed="false">
      <c r="B6" s="19" t="s">
        <v>118</v>
      </c>
      <c r="C6" s="39" t="n">
        <f aca="false">MIN(1,Assumptions!$C$11+(1-Assumptions!$C$11)*MIN(1,Assumptions!$C$12)/Assumptions!$C$12)</f>
        <v>0.175</v>
      </c>
      <c r="D6" s="39" t="n">
        <f aca="false">MIN(1,Assumptions!$C$11+(1-Assumptions!$C$11)*MIN(2,Assumptions!$C$12)/Assumptions!$C$12)</f>
        <v>0.25</v>
      </c>
      <c r="E6" s="39" t="n">
        <f aca="false">MIN(1,Assumptions!$C$11+(1-Assumptions!$C$11)*MIN(3,Assumptions!$C$12)/Assumptions!$C$12)</f>
        <v>0.325</v>
      </c>
      <c r="F6" s="39" t="n">
        <f aca="false">MIN(1,Assumptions!$C$11+(1-Assumptions!$C$11)*MIN(4,Assumptions!$C$12)/Assumptions!$C$12)</f>
        <v>0.4</v>
      </c>
      <c r="G6" s="39" t="n">
        <f aca="false">MIN(1,Assumptions!$C$11+(1-Assumptions!$C$11)*MIN(5,Assumptions!$C$12)/Assumptions!$C$12)</f>
        <v>0.475</v>
      </c>
      <c r="H6" s="39" t="n">
        <f aca="false">MIN(1,Assumptions!$C$11+(1-Assumptions!$C$11)*MIN(6,Assumptions!$C$12)/Assumptions!$C$12)</f>
        <v>0.55</v>
      </c>
      <c r="I6" s="39" t="n">
        <f aca="false">MIN(1,Assumptions!$C$11+(1-Assumptions!$C$11)*MIN(7,Assumptions!$C$12)/Assumptions!$C$12)</f>
        <v>0.625</v>
      </c>
      <c r="J6" s="39" t="n">
        <f aca="false">MIN(1,Assumptions!$C$11+(1-Assumptions!$C$11)*MIN(8,Assumptions!$C$12)/Assumptions!$C$12)</f>
        <v>0.7</v>
      </c>
      <c r="K6" s="39" t="n">
        <f aca="false">MIN(1,Assumptions!$C$11+(1-Assumptions!$C$11)*MIN(9,Assumptions!$C$12)/Assumptions!$C$12)</f>
        <v>0.775</v>
      </c>
      <c r="L6" s="39" t="n">
        <f aca="false">MIN(1,Assumptions!$C$11+(1-Assumptions!$C$11)*MIN(10,Assumptions!$C$12)/Assumptions!$C$12)</f>
        <v>0.85</v>
      </c>
      <c r="M6" s="39" t="n">
        <f aca="false">MIN(1,Assumptions!$C$11+(1-Assumptions!$C$11)*MIN(11,Assumptions!$C$12)/Assumptions!$C$12)</f>
        <v>0.925</v>
      </c>
      <c r="N6" s="39" t="n">
        <f aca="false">MIN(1,Assumptions!$C$11+(1-Assumptions!$C$11)*MIN(12,Assumptions!$C$12)/Assumptions!$C$12)</f>
        <v>1</v>
      </c>
    </row>
    <row r="7" customFormat="false" ht="15" hidden="false" customHeight="false" outlineLevel="0" collapsed="false">
      <c r="B7" s="19" t="s">
        <v>81</v>
      </c>
      <c r="C7" s="40" t="n">
        <f aca="false">C6*Assumptions!$C$6</f>
        <v>875</v>
      </c>
      <c r="D7" s="40" t="n">
        <f aca="false">D6*Assumptions!$C$6</f>
        <v>1250</v>
      </c>
      <c r="E7" s="40" t="n">
        <f aca="false">E6*Assumptions!$C$6</f>
        <v>1625</v>
      </c>
      <c r="F7" s="40" t="n">
        <f aca="false">F6*Assumptions!$C$6</f>
        <v>2000</v>
      </c>
      <c r="G7" s="40" t="n">
        <f aca="false">G6*Assumptions!$C$6</f>
        <v>2375</v>
      </c>
      <c r="H7" s="40" t="n">
        <f aca="false">H6*Assumptions!$C$6</f>
        <v>2750</v>
      </c>
      <c r="I7" s="40" t="n">
        <f aca="false">I6*Assumptions!$C$6</f>
        <v>3125</v>
      </c>
      <c r="J7" s="40" t="n">
        <f aca="false">J6*Assumptions!$C$6</f>
        <v>3500</v>
      </c>
      <c r="K7" s="40" t="n">
        <f aca="false">K6*Assumptions!$C$6</f>
        <v>3875</v>
      </c>
      <c r="L7" s="40" t="n">
        <f aca="false">L6*Assumptions!$C$6</f>
        <v>4250</v>
      </c>
      <c r="M7" s="40" t="n">
        <f aca="false">M6*Assumptions!$C$6</f>
        <v>4625</v>
      </c>
      <c r="N7" s="40" t="n">
        <f aca="false">N6*Assumptions!$C$6</f>
        <v>5000</v>
      </c>
    </row>
    <row r="8" customFormat="false" ht="15" hidden="false" customHeight="false" outlineLevel="0" collapsed="false">
      <c r="B8" s="19" t="s">
        <v>119</v>
      </c>
      <c r="C8" s="41" t="n">
        <f aca="false">(1+Assumptions!$C$16)^((1-1)/12)</f>
        <v>1</v>
      </c>
      <c r="D8" s="41" t="n">
        <f aca="false">(1+Assumptions!$C$16)^((2-1)/12)</f>
        <v>1.01171491691985</v>
      </c>
      <c r="E8" s="41" t="n">
        <f aca="false">(1+Assumptions!$C$16)^((3-1)/12)</f>
        <v>1.02356707311815</v>
      </c>
      <c r="F8" s="41" t="n">
        <f aca="false">(1+Assumptions!$C$16)^((4-1)/12)</f>
        <v>1.03555807634162</v>
      </c>
      <c r="G8" s="41" t="n">
        <f aca="false">(1+Assumptions!$C$16)^((5-1)/12)</f>
        <v>1.04768955317165</v>
      </c>
      <c r="H8" s="41" t="n">
        <f aca="false">(1+Assumptions!$C$16)^((6-1)/12)</f>
        <v>1.05996314924485</v>
      </c>
      <c r="I8" s="41" t="n">
        <f aca="false">(1+Assumptions!$C$16)^((7-1)/12)</f>
        <v>1.07238052947636</v>
      </c>
      <c r="J8" s="41" t="n">
        <f aca="false">(1+Assumptions!$C$16)^((8-1)/12)</f>
        <v>1.08494337828564</v>
      </c>
      <c r="K8" s="41" t="n">
        <f aca="false">(1+Assumptions!$C$16)^((9-1)/12)</f>
        <v>1.09765339982501</v>
      </c>
      <c r="L8" s="41" t="n">
        <f aca="false">(1+Assumptions!$C$16)^((10-1)/12)</f>
        <v>1.11051231821075</v>
      </c>
      <c r="M8" s="41" t="n">
        <f aca="false">(1+Assumptions!$C$16)^((11-1)/12)</f>
        <v>1.12352187775706</v>
      </c>
      <c r="N8" s="41" t="n">
        <f aca="false">(1+Assumptions!$C$16)^((12-1)/12)</f>
        <v>1.13668384321262</v>
      </c>
    </row>
    <row r="9" customFormat="false" ht="15" hidden="false" customHeight="false" outlineLevel="0" collapsed="false">
      <c r="B9" s="19" t="s">
        <v>120</v>
      </c>
      <c r="C9" s="41" t="n">
        <f aca="false">(1+Assumptions!$C$15)^((1-1)/12)</f>
        <v>1</v>
      </c>
      <c r="D9" s="41" t="n">
        <f aca="false">(1+Assumptions!$C$15)^((2-1)/12)</f>
        <v>0.981576529873752</v>
      </c>
      <c r="E9" s="41" t="n">
        <f aca="false">(1+Assumptions!$C$15)^((3-1)/12)</f>
        <v>0.963492483998996</v>
      </c>
      <c r="F9" s="41" t="n">
        <f aca="false">(1+Assumptions!$C$15)^((4-1)/12)</f>
        <v>0.945741609003176</v>
      </c>
      <c r="G9" s="41" t="n">
        <f aca="false">(1+Assumptions!$C$15)^((5-1)/12)</f>
        <v>0.928317766722556</v>
      </c>
      <c r="H9" s="41" t="n">
        <f aca="false">(1+Assumptions!$C$15)^((6-1)/12)</f>
        <v>0.911214932079677</v>
      </c>
      <c r="I9" s="41" t="n">
        <f aca="false">(1+Assumptions!$C$15)^((7-1)/12)</f>
        <v>0.894427190999916</v>
      </c>
      <c r="J9" s="41" t="n">
        <f aca="false">(1+Assumptions!$C$15)^((8-1)/12)</f>
        <v>0.877948738366425</v>
      </c>
      <c r="K9" s="41" t="n">
        <f aca="false">(1+Assumptions!$C$15)^((9-1)/12)</f>
        <v>0.861773876012754</v>
      </c>
      <c r="L9" s="41" t="n">
        <f aca="false">(1+Assumptions!$C$15)^((10-1)/12)</f>
        <v>0.845897010752451</v>
      </c>
      <c r="M9" s="41" t="n">
        <f aca="false">(1+Assumptions!$C$15)^((11-1)/12)</f>
        <v>0.830312652444971</v>
      </c>
      <c r="N9" s="41" t="n">
        <f aca="false">(1+Assumptions!$C$15)^((12-1)/12)</f>
        <v>0.815015412097205</v>
      </c>
    </row>
    <row r="10" customFormat="false" ht="15" hidden="false" customHeight="false" outlineLevel="0" collapsed="false">
      <c r="B10" s="19" t="s">
        <v>121</v>
      </c>
      <c r="C10" s="33" t="n">
        <f aca="false">'Bottom-Up'!$L$12*(C7/Assumptions!$C$6)*C8*C9</f>
        <v>3620.9922</v>
      </c>
      <c r="D10" s="33" t="n">
        <f aca="false">'Bottom-Up'!$L$12*(D7/Assumptions!$C$6)*D8*D9</f>
        <v>5137.02723501873</v>
      </c>
      <c r="E10" s="33" t="n">
        <f aca="false">'Bottom-Up'!$L$12*(E7/Assumptions!$C$6)*E8*E9</f>
        <v>6631.89344073291</v>
      </c>
      <c r="F10" s="33" t="n">
        <f aca="false">'Bottom-Up'!$L$12*(F7/Assumptions!$C$6)*F8*F9</f>
        <v>8105.81128984512</v>
      </c>
      <c r="G10" s="33" t="n">
        <f aca="false">'Bottom-Up'!$L$12*(G7/Assumptions!$C$6)*G8*G9</f>
        <v>9558.99921676672</v>
      </c>
      <c r="H10" s="33" t="n">
        <f aca="false">'Bottom-Up'!$L$12*(H7/Assumptions!$C$6)*H8*H9</f>
        <v>10991.6736352746</v>
      </c>
      <c r="I10" s="33" t="n">
        <f aca="false">'Bottom-Up'!$L$12*(I7/Assumptions!$C$6)*I8*I9</f>
        <v>12404.0489560211</v>
      </c>
      <c r="J10" s="33" t="n">
        <f aca="false">'Bottom-Up'!$L$12*(J7/Assumptions!$C$6)*J8*J9</f>
        <v>13796.3376038985</v>
      </c>
      <c r="K10" s="33" t="n">
        <f aca="false">'Bottom-Up'!$L$12*(K7/Assumptions!$C$6)*K8*K9</f>
        <v>15168.7500352592</v>
      </c>
      <c r="L10" s="33" t="n">
        <f aca="false">'Bottom-Up'!$L$12*(L7/Assumptions!$C$6)*L8*L9</f>
        <v>16521.4947549919</v>
      </c>
      <c r="M10" s="33" t="n">
        <f aca="false">'Bottom-Up'!$L$12*(M7/Assumptions!$C$6)*M8*M9</f>
        <v>17854.7783334567</v>
      </c>
      <c r="N10" s="33" t="n">
        <f aca="false">'Bottom-Up'!$L$12*(N7/Assumptions!$C$6)*N8*N9</f>
        <v>19168.8054232782</v>
      </c>
    </row>
    <row r="11" customFormat="false" ht="15" hidden="false" customHeight="false" outlineLevel="0" collapsed="false">
      <c r="B11" s="19" t="s">
        <v>122</v>
      </c>
      <c r="C11" s="27" t="n">
        <f aca="false">C10*((1+Assumptions!$C$19)*(1+Assumptions!$C$20)-1)</f>
        <v>959.562933</v>
      </c>
      <c r="D11" s="27" t="n">
        <f aca="false">D10*((1+Assumptions!$C$19)*(1+Assumptions!$C$20)-1)</f>
        <v>1361.31221727996</v>
      </c>
      <c r="E11" s="27" t="n">
        <f aca="false">E10*((1+Assumptions!$C$19)*(1+Assumptions!$C$20)-1)</f>
        <v>1757.45176179422</v>
      </c>
      <c r="F11" s="27" t="n">
        <f aca="false">F10*((1+Assumptions!$C$19)*(1+Assumptions!$C$20)-1)</f>
        <v>2148.03999180896</v>
      </c>
      <c r="G11" s="27" t="n">
        <f aca="false">G10*((1+Assumptions!$C$19)*(1+Assumptions!$C$20)-1)</f>
        <v>2533.13479244318</v>
      </c>
      <c r="H11" s="27" t="n">
        <f aca="false">H10*((1+Assumptions!$C$19)*(1+Assumptions!$C$20)-1)</f>
        <v>2912.79351334776</v>
      </c>
      <c r="I11" s="27" t="n">
        <f aca="false">I10*((1+Assumptions!$C$19)*(1+Assumptions!$C$20)-1)</f>
        <v>3287.07297334558</v>
      </c>
      <c r="J11" s="27" t="n">
        <f aca="false">J10*((1+Assumptions!$C$19)*(1+Assumptions!$C$20)-1)</f>
        <v>3656.02946503311</v>
      </c>
      <c r="K11" s="27" t="n">
        <f aca="false">K10*((1+Assumptions!$C$19)*(1+Assumptions!$C$20)-1)</f>
        <v>4019.71875934369</v>
      </c>
      <c r="L11" s="27" t="n">
        <f aca="false">L10*((1+Assumptions!$C$19)*(1+Assumptions!$C$20)-1)</f>
        <v>4378.19611007286</v>
      </c>
      <c r="M11" s="27" t="n">
        <f aca="false">M10*((1+Assumptions!$C$19)*(1+Assumptions!$C$20)-1)</f>
        <v>4731.51625836601</v>
      </c>
      <c r="N11" s="27" t="n">
        <f aca="false">N10*((1+Assumptions!$C$19)*(1+Assumptions!$C$20)-1)</f>
        <v>5079.73343716872</v>
      </c>
    </row>
    <row r="12" customFormat="false" ht="15" hidden="false" customHeight="false" outlineLevel="0" collapsed="false">
      <c r="B12" s="42" t="s">
        <v>123</v>
      </c>
      <c r="C12" s="43" t="n">
        <f aca="false">C10+C11</f>
        <v>4580.555133</v>
      </c>
      <c r="D12" s="43" t="n">
        <f aca="false">D10+D11</f>
        <v>6498.3394522987</v>
      </c>
      <c r="E12" s="43" t="n">
        <f aca="false">E10+E11</f>
        <v>8389.34520252713</v>
      </c>
      <c r="F12" s="43" t="n">
        <f aca="false">F10+F11</f>
        <v>10253.8512816541</v>
      </c>
      <c r="G12" s="43" t="n">
        <f aca="false">G10+G11</f>
        <v>12092.1340092099</v>
      </c>
      <c r="H12" s="43" t="n">
        <f aca="false">H10+H11</f>
        <v>13904.4671486223</v>
      </c>
      <c r="I12" s="43" t="n">
        <f aca="false">I10+I11</f>
        <v>15691.1219293666</v>
      </c>
      <c r="J12" s="43" t="n">
        <f aca="false">J10+J11</f>
        <v>17452.3670689316</v>
      </c>
      <c r="K12" s="43" t="n">
        <f aca="false">K10+K11</f>
        <v>19188.4687946029</v>
      </c>
      <c r="L12" s="43" t="n">
        <f aca="false">L10+L11</f>
        <v>20899.6908650648</v>
      </c>
      <c r="M12" s="43" t="n">
        <f aca="false">M10+M11</f>
        <v>22586.2945918227</v>
      </c>
      <c r="N12" s="43" t="n">
        <f aca="false">N10+N11</f>
        <v>24248.5388604469</v>
      </c>
      <c r="O12" s="31" t="n">
        <f aca="false">SUM(C12:N12)</f>
        <v>175785.174337548</v>
      </c>
    </row>
    <row r="13" customFormat="false" ht="15" hidden="false" customHeight="false" outlineLevel="0" collapsed="false">
      <c r="B13" s="19" t="s">
        <v>124</v>
      </c>
      <c r="C13" s="27" t="n">
        <f aca="false">C12</f>
        <v>4580.555133</v>
      </c>
      <c r="D13" s="27" t="n">
        <f aca="false">C13+D12</f>
        <v>11078.8945852987</v>
      </c>
      <c r="E13" s="27" t="n">
        <f aca="false">D13+E12</f>
        <v>19468.2397878258</v>
      </c>
      <c r="F13" s="27" t="n">
        <f aca="false">E13+F12</f>
        <v>29722.0910694799</v>
      </c>
      <c r="G13" s="27" t="n">
        <f aca="false">F13+G12</f>
        <v>41814.2250786898</v>
      </c>
      <c r="H13" s="27" t="n">
        <f aca="false">G13+H12</f>
        <v>55718.6922273121</v>
      </c>
      <c r="I13" s="27" t="n">
        <f aca="false">H13+I12</f>
        <v>71409.8141566788</v>
      </c>
      <c r="J13" s="27" t="n">
        <f aca="false">I13+J12</f>
        <v>88862.1812256104</v>
      </c>
      <c r="K13" s="27" t="n">
        <f aca="false">J13+K12</f>
        <v>108050.650020213</v>
      </c>
      <c r="L13" s="27" t="n">
        <f aca="false">K13+L12</f>
        <v>128950.340885278</v>
      </c>
      <c r="M13" s="27" t="n">
        <f aca="false">L13+M12</f>
        <v>151536.635477101</v>
      </c>
      <c r="N13" s="27" t="n">
        <f aca="false">M13+N12</f>
        <v>175785.174337548</v>
      </c>
      <c r="O13" s="31" t="n">
        <f aca="false">N13</f>
        <v>175785.174337548</v>
      </c>
    </row>
    <row r="15" customFormat="false" ht="15" hidden="false" customHeight="false" outlineLevel="0" collapsed="false">
      <c r="B15" s="4" t="s">
        <v>125</v>
      </c>
      <c r="C15" s="44" t="n">
        <f aca="false">N13</f>
        <v>175785.174337548</v>
      </c>
    </row>
  </sheetData>
  <mergeCells count="1">
    <mergeCell ref="B2:O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M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38" min="3" style="0" width="11"/>
    <col collapsed="false" customWidth="true" hidden="false" outlineLevel="0" max="39" min="39" style="0" width="13"/>
  </cols>
  <sheetData>
    <row r="2" customFormat="false" ht="17.35" hidden="false" customHeight="false" outlineLevel="0" collapsed="false">
      <c r="B2" s="1" t="s">
        <v>126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customFormat="false" ht="15" hidden="false" customHeight="false" outlineLevel="0" collapsed="false">
      <c r="B3" s="2" t="s">
        <v>115</v>
      </c>
    </row>
    <row r="5" customFormat="false" ht="15" hidden="false" customHeight="false" outlineLevel="0" collapsed="false">
      <c r="B5" s="36" t="s">
        <v>116</v>
      </c>
      <c r="C5" s="37" t="n">
        <v>1</v>
      </c>
      <c r="D5" s="37" t="n">
        <v>2</v>
      </c>
      <c r="E5" s="37" t="n">
        <v>3</v>
      </c>
      <c r="F5" s="37" t="n">
        <v>4</v>
      </c>
      <c r="G5" s="37" t="n">
        <v>5</v>
      </c>
      <c r="H5" s="37" t="n">
        <v>6</v>
      </c>
      <c r="I5" s="37" t="n">
        <v>7</v>
      </c>
      <c r="J5" s="37" t="n">
        <v>8</v>
      </c>
      <c r="K5" s="37" t="n">
        <v>9</v>
      </c>
      <c r="L5" s="37" t="n">
        <v>10</v>
      </c>
      <c r="M5" s="37" t="n">
        <v>11</v>
      </c>
      <c r="N5" s="37" t="n">
        <v>12</v>
      </c>
      <c r="O5" s="37" t="n">
        <v>13</v>
      </c>
      <c r="P5" s="37" t="n">
        <v>14</v>
      </c>
      <c r="Q5" s="37" t="n">
        <v>15</v>
      </c>
      <c r="R5" s="37" t="n">
        <v>16</v>
      </c>
      <c r="S5" s="37" t="n">
        <v>17</v>
      </c>
      <c r="T5" s="37" t="n">
        <v>18</v>
      </c>
      <c r="U5" s="37" t="n">
        <v>19</v>
      </c>
      <c r="V5" s="37" t="n">
        <v>20</v>
      </c>
      <c r="W5" s="37" t="n">
        <v>21</v>
      </c>
      <c r="X5" s="37" t="n">
        <v>22</v>
      </c>
      <c r="Y5" s="37" t="n">
        <v>23</v>
      </c>
      <c r="Z5" s="37" t="n">
        <v>24</v>
      </c>
      <c r="AA5" s="37" t="n">
        <v>25</v>
      </c>
      <c r="AB5" s="37" t="n">
        <v>26</v>
      </c>
      <c r="AC5" s="37" t="n">
        <v>27</v>
      </c>
      <c r="AD5" s="37" t="n">
        <v>28</v>
      </c>
      <c r="AE5" s="37" t="n">
        <v>29</v>
      </c>
      <c r="AF5" s="37" t="n">
        <v>30</v>
      </c>
      <c r="AG5" s="37" t="n">
        <v>31</v>
      </c>
      <c r="AH5" s="37" t="n">
        <v>32</v>
      </c>
      <c r="AI5" s="37" t="n">
        <v>33</v>
      </c>
      <c r="AJ5" s="37" t="n">
        <v>34</v>
      </c>
      <c r="AK5" s="37" t="n">
        <v>35</v>
      </c>
      <c r="AL5" s="37" t="n">
        <v>36</v>
      </c>
      <c r="AM5" s="38" t="s">
        <v>117</v>
      </c>
    </row>
    <row r="6" customFormat="false" ht="15" hidden="false" customHeight="false" outlineLevel="0" collapsed="false">
      <c r="B6" s="19" t="s">
        <v>118</v>
      </c>
      <c r="C6" s="39" t="n">
        <f aca="false">MIN(1,Assumptions!$C$11+(1-Assumptions!$C$11)*MIN(1,Assumptions!$C$12)/Assumptions!$C$12)</f>
        <v>0.175</v>
      </c>
      <c r="D6" s="39" t="n">
        <f aca="false">MIN(1,Assumptions!$C$11+(1-Assumptions!$C$11)*MIN(2,Assumptions!$C$12)/Assumptions!$C$12)</f>
        <v>0.25</v>
      </c>
      <c r="E6" s="39" t="n">
        <f aca="false">MIN(1,Assumptions!$C$11+(1-Assumptions!$C$11)*MIN(3,Assumptions!$C$12)/Assumptions!$C$12)</f>
        <v>0.325</v>
      </c>
      <c r="F6" s="39" t="n">
        <f aca="false">MIN(1,Assumptions!$C$11+(1-Assumptions!$C$11)*MIN(4,Assumptions!$C$12)/Assumptions!$C$12)</f>
        <v>0.4</v>
      </c>
      <c r="G6" s="39" t="n">
        <f aca="false">MIN(1,Assumptions!$C$11+(1-Assumptions!$C$11)*MIN(5,Assumptions!$C$12)/Assumptions!$C$12)</f>
        <v>0.475</v>
      </c>
      <c r="H6" s="39" t="n">
        <f aca="false">MIN(1,Assumptions!$C$11+(1-Assumptions!$C$11)*MIN(6,Assumptions!$C$12)/Assumptions!$C$12)</f>
        <v>0.55</v>
      </c>
      <c r="I6" s="39" t="n">
        <f aca="false">MIN(1,Assumptions!$C$11+(1-Assumptions!$C$11)*MIN(7,Assumptions!$C$12)/Assumptions!$C$12)</f>
        <v>0.625</v>
      </c>
      <c r="J6" s="39" t="n">
        <f aca="false">MIN(1,Assumptions!$C$11+(1-Assumptions!$C$11)*MIN(8,Assumptions!$C$12)/Assumptions!$C$12)</f>
        <v>0.7</v>
      </c>
      <c r="K6" s="39" t="n">
        <f aca="false">MIN(1,Assumptions!$C$11+(1-Assumptions!$C$11)*MIN(9,Assumptions!$C$12)/Assumptions!$C$12)</f>
        <v>0.775</v>
      </c>
      <c r="L6" s="39" t="n">
        <f aca="false">MIN(1,Assumptions!$C$11+(1-Assumptions!$C$11)*MIN(10,Assumptions!$C$12)/Assumptions!$C$12)</f>
        <v>0.85</v>
      </c>
      <c r="M6" s="39" t="n">
        <f aca="false">MIN(1,Assumptions!$C$11+(1-Assumptions!$C$11)*MIN(11,Assumptions!$C$12)/Assumptions!$C$12)</f>
        <v>0.925</v>
      </c>
      <c r="N6" s="39" t="n">
        <f aca="false">MIN(1,Assumptions!$C$11+(1-Assumptions!$C$11)*MIN(12,Assumptions!$C$12)/Assumptions!$C$12)</f>
        <v>1</v>
      </c>
      <c r="O6" s="39" t="n">
        <f aca="false">MIN(1,Assumptions!$C$11+(1-Assumptions!$C$11)*MIN(13,Assumptions!$C$12)/Assumptions!$C$12)</f>
        <v>1</v>
      </c>
      <c r="P6" s="39" t="n">
        <f aca="false">MIN(1,Assumptions!$C$11+(1-Assumptions!$C$11)*MIN(14,Assumptions!$C$12)/Assumptions!$C$12)</f>
        <v>1</v>
      </c>
      <c r="Q6" s="39" t="n">
        <f aca="false">MIN(1,Assumptions!$C$11+(1-Assumptions!$C$11)*MIN(15,Assumptions!$C$12)/Assumptions!$C$12)</f>
        <v>1</v>
      </c>
      <c r="R6" s="39" t="n">
        <f aca="false">MIN(1,Assumptions!$C$11+(1-Assumptions!$C$11)*MIN(16,Assumptions!$C$12)/Assumptions!$C$12)</f>
        <v>1</v>
      </c>
      <c r="S6" s="39" t="n">
        <f aca="false">MIN(1,Assumptions!$C$11+(1-Assumptions!$C$11)*MIN(17,Assumptions!$C$12)/Assumptions!$C$12)</f>
        <v>1</v>
      </c>
      <c r="T6" s="39" t="n">
        <f aca="false">MIN(1,Assumptions!$C$11+(1-Assumptions!$C$11)*MIN(18,Assumptions!$C$12)/Assumptions!$C$12)</f>
        <v>1</v>
      </c>
      <c r="U6" s="39" t="n">
        <f aca="false">MIN(1,Assumptions!$C$11+(1-Assumptions!$C$11)*MIN(19,Assumptions!$C$12)/Assumptions!$C$12)</f>
        <v>1</v>
      </c>
      <c r="V6" s="39" t="n">
        <f aca="false">MIN(1,Assumptions!$C$11+(1-Assumptions!$C$11)*MIN(20,Assumptions!$C$12)/Assumptions!$C$12)</f>
        <v>1</v>
      </c>
      <c r="W6" s="39" t="n">
        <f aca="false">MIN(1,Assumptions!$C$11+(1-Assumptions!$C$11)*MIN(21,Assumptions!$C$12)/Assumptions!$C$12)</f>
        <v>1</v>
      </c>
      <c r="X6" s="39" t="n">
        <f aca="false">MIN(1,Assumptions!$C$11+(1-Assumptions!$C$11)*MIN(22,Assumptions!$C$12)/Assumptions!$C$12)</f>
        <v>1</v>
      </c>
      <c r="Y6" s="39" t="n">
        <f aca="false">MIN(1,Assumptions!$C$11+(1-Assumptions!$C$11)*MIN(23,Assumptions!$C$12)/Assumptions!$C$12)</f>
        <v>1</v>
      </c>
      <c r="Z6" s="39" t="n">
        <f aca="false">MIN(1,Assumptions!$C$11+(1-Assumptions!$C$11)*MIN(24,Assumptions!$C$12)/Assumptions!$C$12)</f>
        <v>1</v>
      </c>
      <c r="AA6" s="39" t="n">
        <f aca="false">MIN(1,Assumptions!$C$11+(1-Assumptions!$C$11)*MIN(25,Assumptions!$C$12)/Assumptions!$C$12)</f>
        <v>1</v>
      </c>
      <c r="AB6" s="39" t="n">
        <f aca="false">MIN(1,Assumptions!$C$11+(1-Assumptions!$C$11)*MIN(26,Assumptions!$C$12)/Assumptions!$C$12)</f>
        <v>1</v>
      </c>
      <c r="AC6" s="39" t="n">
        <f aca="false">MIN(1,Assumptions!$C$11+(1-Assumptions!$C$11)*MIN(27,Assumptions!$C$12)/Assumptions!$C$12)</f>
        <v>1</v>
      </c>
      <c r="AD6" s="39" t="n">
        <f aca="false">MIN(1,Assumptions!$C$11+(1-Assumptions!$C$11)*MIN(28,Assumptions!$C$12)/Assumptions!$C$12)</f>
        <v>1</v>
      </c>
      <c r="AE6" s="39" t="n">
        <f aca="false">MIN(1,Assumptions!$C$11+(1-Assumptions!$C$11)*MIN(29,Assumptions!$C$12)/Assumptions!$C$12)</f>
        <v>1</v>
      </c>
      <c r="AF6" s="39" t="n">
        <f aca="false">MIN(1,Assumptions!$C$11+(1-Assumptions!$C$11)*MIN(30,Assumptions!$C$12)/Assumptions!$C$12)</f>
        <v>1</v>
      </c>
      <c r="AG6" s="39" t="n">
        <f aca="false">MIN(1,Assumptions!$C$11+(1-Assumptions!$C$11)*MIN(31,Assumptions!$C$12)/Assumptions!$C$12)</f>
        <v>1</v>
      </c>
      <c r="AH6" s="39" t="n">
        <f aca="false">MIN(1,Assumptions!$C$11+(1-Assumptions!$C$11)*MIN(32,Assumptions!$C$12)/Assumptions!$C$12)</f>
        <v>1</v>
      </c>
      <c r="AI6" s="39" t="n">
        <f aca="false">MIN(1,Assumptions!$C$11+(1-Assumptions!$C$11)*MIN(33,Assumptions!$C$12)/Assumptions!$C$12)</f>
        <v>1</v>
      </c>
      <c r="AJ6" s="39" t="n">
        <f aca="false">MIN(1,Assumptions!$C$11+(1-Assumptions!$C$11)*MIN(34,Assumptions!$C$12)/Assumptions!$C$12)</f>
        <v>1</v>
      </c>
      <c r="AK6" s="39" t="n">
        <f aca="false">MIN(1,Assumptions!$C$11+(1-Assumptions!$C$11)*MIN(35,Assumptions!$C$12)/Assumptions!$C$12)</f>
        <v>1</v>
      </c>
      <c r="AL6" s="39" t="n">
        <f aca="false">MIN(1,Assumptions!$C$11+(1-Assumptions!$C$11)*MIN(36,Assumptions!$C$12)/Assumptions!$C$12)</f>
        <v>1</v>
      </c>
    </row>
    <row r="7" customFormat="false" ht="15" hidden="false" customHeight="false" outlineLevel="0" collapsed="false">
      <c r="B7" s="19" t="s">
        <v>81</v>
      </c>
      <c r="C7" s="40" t="n">
        <f aca="false">C6*Assumptions!$C$6</f>
        <v>875</v>
      </c>
      <c r="D7" s="40" t="n">
        <f aca="false">D6*Assumptions!$C$6</f>
        <v>1250</v>
      </c>
      <c r="E7" s="40" t="n">
        <f aca="false">E6*Assumptions!$C$6</f>
        <v>1625</v>
      </c>
      <c r="F7" s="40" t="n">
        <f aca="false">F6*Assumptions!$C$6</f>
        <v>2000</v>
      </c>
      <c r="G7" s="40" t="n">
        <f aca="false">G6*Assumptions!$C$6</f>
        <v>2375</v>
      </c>
      <c r="H7" s="40" t="n">
        <f aca="false">H6*Assumptions!$C$6</f>
        <v>2750</v>
      </c>
      <c r="I7" s="40" t="n">
        <f aca="false">I6*Assumptions!$C$6</f>
        <v>3125</v>
      </c>
      <c r="J7" s="40" t="n">
        <f aca="false">J6*Assumptions!$C$6</f>
        <v>3500</v>
      </c>
      <c r="K7" s="40" t="n">
        <f aca="false">K6*Assumptions!$C$6</f>
        <v>3875</v>
      </c>
      <c r="L7" s="40" t="n">
        <f aca="false">L6*Assumptions!$C$6</f>
        <v>4250</v>
      </c>
      <c r="M7" s="40" t="n">
        <f aca="false">M6*Assumptions!$C$6</f>
        <v>4625</v>
      </c>
      <c r="N7" s="40" t="n">
        <f aca="false">N6*Assumptions!$C$6</f>
        <v>5000</v>
      </c>
      <c r="O7" s="40" t="n">
        <f aca="false">O6*Assumptions!$C$6</f>
        <v>5000</v>
      </c>
      <c r="P7" s="40" t="n">
        <f aca="false">P6*Assumptions!$C$6</f>
        <v>5000</v>
      </c>
      <c r="Q7" s="40" t="n">
        <f aca="false">Q6*Assumptions!$C$6</f>
        <v>5000</v>
      </c>
      <c r="R7" s="40" t="n">
        <f aca="false">R6*Assumptions!$C$6</f>
        <v>5000</v>
      </c>
      <c r="S7" s="40" t="n">
        <f aca="false">S6*Assumptions!$C$6</f>
        <v>5000</v>
      </c>
      <c r="T7" s="40" t="n">
        <f aca="false">T6*Assumptions!$C$6</f>
        <v>5000</v>
      </c>
      <c r="U7" s="40" t="n">
        <f aca="false">U6*Assumptions!$C$6</f>
        <v>5000</v>
      </c>
      <c r="V7" s="40" t="n">
        <f aca="false">V6*Assumptions!$C$6</f>
        <v>5000</v>
      </c>
      <c r="W7" s="40" t="n">
        <f aca="false">W6*Assumptions!$C$6</f>
        <v>5000</v>
      </c>
      <c r="X7" s="40" t="n">
        <f aca="false">X6*Assumptions!$C$6</f>
        <v>5000</v>
      </c>
      <c r="Y7" s="40" t="n">
        <f aca="false">Y6*Assumptions!$C$6</f>
        <v>5000</v>
      </c>
      <c r="Z7" s="40" t="n">
        <f aca="false">Z6*Assumptions!$C$6</f>
        <v>5000</v>
      </c>
      <c r="AA7" s="40" t="n">
        <f aca="false">AA6*Assumptions!$C$6</f>
        <v>5000</v>
      </c>
      <c r="AB7" s="40" t="n">
        <f aca="false">AB6*Assumptions!$C$6</f>
        <v>5000</v>
      </c>
      <c r="AC7" s="40" t="n">
        <f aca="false">AC6*Assumptions!$C$6</f>
        <v>5000</v>
      </c>
      <c r="AD7" s="40" t="n">
        <f aca="false">AD6*Assumptions!$C$6</f>
        <v>5000</v>
      </c>
      <c r="AE7" s="40" t="n">
        <f aca="false">AE6*Assumptions!$C$6</f>
        <v>5000</v>
      </c>
      <c r="AF7" s="40" t="n">
        <f aca="false">AF6*Assumptions!$C$6</f>
        <v>5000</v>
      </c>
      <c r="AG7" s="40" t="n">
        <f aca="false">AG6*Assumptions!$C$6</f>
        <v>5000</v>
      </c>
      <c r="AH7" s="40" t="n">
        <f aca="false">AH6*Assumptions!$C$6</f>
        <v>5000</v>
      </c>
      <c r="AI7" s="40" t="n">
        <f aca="false">AI6*Assumptions!$C$6</f>
        <v>5000</v>
      </c>
      <c r="AJ7" s="40" t="n">
        <f aca="false">AJ6*Assumptions!$C$6</f>
        <v>5000</v>
      </c>
      <c r="AK7" s="40" t="n">
        <f aca="false">AK6*Assumptions!$C$6</f>
        <v>5000</v>
      </c>
      <c r="AL7" s="40" t="n">
        <f aca="false">AL6*Assumptions!$C$6</f>
        <v>5000</v>
      </c>
    </row>
    <row r="8" customFormat="false" ht="15" hidden="false" customHeight="false" outlineLevel="0" collapsed="false">
      <c r="B8" s="19" t="s">
        <v>119</v>
      </c>
      <c r="C8" s="41" t="n">
        <f aca="false">(1+Assumptions!$C$16)^((1-1)/12)</f>
        <v>1</v>
      </c>
      <c r="D8" s="41" t="n">
        <f aca="false">(1+Assumptions!$C$16)^((2-1)/12)</f>
        <v>1.01171491691985</v>
      </c>
      <c r="E8" s="41" t="n">
        <f aca="false">(1+Assumptions!$C$16)^((3-1)/12)</f>
        <v>1.02356707311815</v>
      </c>
      <c r="F8" s="41" t="n">
        <f aca="false">(1+Assumptions!$C$16)^((4-1)/12)</f>
        <v>1.03555807634162</v>
      </c>
      <c r="G8" s="41" t="n">
        <f aca="false">(1+Assumptions!$C$16)^((5-1)/12)</f>
        <v>1.04768955317165</v>
      </c>
      <c r="H8" s="41" t="n">
        <f aca="false">(1+Assumptions!$C$16)^((6-1)/12)</f>
        <v>1.05996314924485</v>
      </c>
      <c r="I8" s="41" t="n">
        <f aca="false">(1+Assumptions!$C$16)^((7-1)/12)</f>
        <v>1.07238052947636</v>
      </c>
      <c r="J8" s="41" t="n">
        <f aca="false">(1+Assumptions!$C$16)^((8-1)/12)</f>
        <v>1.08494337828564</v>
      </c>
      <c r="K8" s="41" t="n">
        <f aca="false">(1+Assumptions!$C$16)^((9-1)/12)</f>
        <v>1.09765339982501</v>
      </c>
      <c r="L8" s="41" t="n">
        <f aca="false">(1+Assumptions!$C$16)^((10-1)/12)</f>
        <v>1.11051231821075</v>
      </c>
      <c r="M8" s="41" t="n">
        <f aca="false">(1+Assumptions!$C$16)^((11-1)/12)</f>
        <v>1.12352187775706</v>
      </c>
      <c r="N8" s="41" t="n">
        <f aca="false">(1+Assumptions!$C$16)^((12-1)/12)</f>
        <v>1.13668384321262</v>
      </c>
      <c r="O8" s="41" t="n">
        <f aca="false">(1+Assumptions!$C$16)^((13-1)/12)</f>
        <v>1.15</v>
      </c>
      <c r="P8" s="41" t="n">
        <f aca="false">(1+Assumptions!$C$16)^((14-1)/12)</f>
        <v>1.16347215445783</v>
      </c>
      <c r="Q8" s="41" t="n">
        <f aca="false">(1+Assumptions!$C$16)^((15-1)/12)</f>
        <v>1.17710213408587</v>
      </c>
      <c r="R8" s="41" t="n">
        <f aca="false">(1+Assumptions!$C$16)^((16-1)/12)</f>
        <v>1.19089178779287</v>
      </c>
      <c r="S8" s="41" t="n">
        <f aca="false">(1+Assumptions!$C$16)^((17-1)/12)</f>
        <v>1.20484298614739</v>
      </c>
      <c r="T8" s="41" t="n">
        <f aca="false">(1+Assumptions!$C$16)^((18-1)/12)</f>
        <v>1.21895762163158</v>
      </c>
      <c r="U8" s="41" t="n">
        <f aca="false">(1+Assumptions!$C$16)^((19-1)/12)</f>
        <v>1.23323760889781</v>
      </c>
      <c r="V8" s="41" t="n">
        <f aca="false">(1+Assumptions!$C$16)^((20-1)/12)</f>
        <v>1.24768488502849</v>
      </c>
      <c r="W8" s="41" t="n">
        <f aca="false">(1+Assumptions!$C$16)^((21-1)/12)</f>
        <v>1.26230140979876</v>
      </c>
      <c r="X8" s="41" t="n">
        <f aca="false">(1+Assumptions!$C$16)^((22-1)/12)</f>
        <v>1.27708916594236</v>
      </c>
      <c r="Y8" s="41" t="n">
        <f aca="false">(1+Assumptions!$C$16)^((23-1)/12)</f>
        <v>1.29205015942062</v>
      </c>
      <c r="Z8" s="41" t="n">
        <f aca="false">(1+Assumptions!$C$16)^((24-1)/12)</f>
        <v>1.30718641969452</v>
      </c>
      <c r="AA8" s="41" t="n">
        <f aca="false">(1+Assumptions!$C$16)^((25-1)/12)</f>
        <v>1.3225</v>
      </c>
      <c r="AB8" s="41" t="n">
        <f aca="false">(1+Assumptions!$C$16)^((26-1)/12)</f>
        <v>1.33799297762651</v>
      </c>
      <c r="AC8" s="41" t="n">
        <f aca="false">(1+Assumptions!$C$16)^((27-1)/12)</f>
        <v>1.35366745419875</v>
      </c>
      <c r="AD8" s="41" t="n">
        <f aca="false">(1+Assumptions!$C$16)^((28-1)/12)</f>
        <v>1.3695255559618</v>
      </c>
      <c r="AE8" s="41" t="n">
        <f aca="false">(1+Assumptions!$C$16)^((29-1)/12)</f>
        <v>1.3855694340695</v>
      </c>
      <c r="AF8" s="41" t="n">
        <f aca="false">(1+Assumptions!$C$16)^((30-1)/12)</f>
        <v>1.40180126487632</v>
      </c>
      <c r="AG8" s="41" t="n">
        <f aca="false">(1+Assumptions!$C$16)^((31-1)/12)</f>
        <v>1.41822325023249</v>
      </c>
      <c r="AH8" s="41" t="n">
        <f aca="false">(1+Assumptions!$C$16)^((32-1)/12)</f>
        <v>1.43483761778276</v>
      </c>
      <c r="AI8" s="41" t="n">
        <f aca="false">(1+Assumptions!$C$16)^((33-1)/12)</f>
        <v>1.45164662126857</v>
      </c>
      <c r="AJ8" s="41" t="n">
        <f aca="false">(1+Assumptions!$C$16)^((34-1)/12)</f>
        <v>1.46865254083372</v>
      </c>
      <c r="AK8" s="41" t="n">
        <f aca="false">(1+Assumptions!$C$16)^((35-1)/12)</f>
        <v>1.48585768333372</v>
      </c>
      <c r="AL8" s="41" t="n">
        <f aca="false">(1+Assumptions!$C$16)^((36-1)/12)</f>
        <v>1.5032643826487</v>
      </c>
    </row>
    <row r="9" customFormat="false" ht="15" hidden="false" customHeight="false" outlineLevel="0" collapsed="false">
      <c r="B9" s="19" t="s">
        <v>120</v>
      </c>
      <c r="C9" s="41" t="n">
        <f aca="false">(1+Assumptions!$C$15)^((1-1)/12)</f>
        <v>1</v>
      </c>
      <c r="D9" s="41" t="n">
        <f aca="false">(1+Assumptions!$C$15)^((2-1)/12)</f>
        <v>0.981576529873752</v>
      </c>
      <c r="E9" s="41" t="n">
        <f aca="false">(1+Assumptions!$C$15)^((3-1)/12)</f>
        <v>0.963492483998996</v>
      </c>
      <c r="F9" s="41" t="n">
        <f aca="false">(1+Assumptions!$C$15)^((4-1)/12)</f>
        <v>0.945741609003176</v>
      </c>
      <c r="G9" s="41" t="n">
        <f aca="false">(1+Assumptions!$C$15)^((5-1)/12)</f>
        <v>0.928317766722556</v>
      </c>
      <c r="H9" s="41" t="n">
        <f aca="false">(1+Assumptions!$C$15)^((6-1)/12)</f>
        <v>0.911214932079677</v>
      </c>
      <c r="I9" s="41" t="n">
        <f aca="false">(1+Assumptions!$C$15)^((7-1)/12)</f>
        <v>0.894427190999916</v>
      </c>
      <c r="J9" s="41" t="n">
        <f aca="false">(1+Assumptions!$C$15)^((8-1)/12)</f>
        <v>0.877948738366425</v>
      </c>
      <c r="K9" s="41" t="n">
        <f aca="false">(1+Assumptions!$C$15)^((9-1)/12)</f>
        <v>0.861773876012754</v>
      </c>
      <c r="L9" s="41" t="n">
        <f aca="false">(1+Assumptions!$C$15)^((10-1)/12)</f>
        <v>0.845897010752451</v>
      </c>
      <c r="M9" s="41" t="n">
        <f aca="false">(1+Assumptions!$C$15)^((11-1)/12)</f>
        <v>0.830312652444971</v>
      </c>
      <c r="N9" s="41" t="n">
        <f aca="false">(1+Assumptions!$C$15)^((12-1)/12)</f>
        <v>0.815015412097205</v>
      </c>
      <c r="O9" s="41" t="n">
        <f aca="false">(1+Assumptions!$C$15)^((13-1)/12)</f>
        <v>0.8</v>
      </c>
      <c r="P9" s="41" t="n">
        <f aca="false">(1+Assumptions!$C$15)^((14-1)/12)</f>
        <v>0.785261223899001</v>
      </c>
      <c r="Q9" s="41" t="n">
        <f aca="false">(1+Assumptions!$C$15)^((15-1)/12)</f>
        <v>0.770793987199197</v>
      </c>
      <c r="R9" s="41" t="n">
        <f aca="false">(1+Assumptions!$C$15)^((16-1)/12)</f>
        <v>0.756593287202541</v>
      </c>
      <c r="S9" s="41" t="n">
        <f aca="false">(1+Assumptions!$C$15)^((17-1)/12)</f>
        <v>0.742654213378045</v>
      </c>
      <c r="T9" s="41" t="n">
        <f aca="false">(1+Assumptions!$C$15)^((18-1)/12)</f>
        <v>0.728971945663742</v>
      </c>
      <c r="U9" s="41" t="n">
        <f aca="false">(1+Assumptions!$C$15)^((19-1)/12)</f>
        <v>0.715541752799933</v>
      </c>
      <c r="V9" s="41" t="n">
        <f aca="false">(1+Assumptions!$C$15)^((20-1)/12)</f>
        <v>0.70235899069314</v>
      </c>
      <c r="W9" s="41" t="n">
        <f aca="false">(1+Assumptions!$C$15)^((21-1)/12)</f>
        <v>0.689419100810203</v>
      </c>
      <c r="X9" s="41" t="n">
        <f aca="false">(1+Assumptions!$C$15)^((22-1)/12)</f>
        <v>0.676717608601961</v>
      </c>
      <c r="Y9" s="41" t="n">
        <f aca="false">(1+Assumptions!$C$15)^((23-1)/12)</f>
        <v>0.664250121955977</v>
      </c>
      <c r="Z9" s="41" t="n">
        <f aca="false">(1+Assumptions!$C$15)^((24-1)/12)</f>
        <v>0.652012329677764</v>
      </c>
      <c r="AA9" s="41" t="n">
        <f aca="false">(1+Assumptions!$C$15)^((25-1)/12)</f>
        <v>0.64</v>
      </c>
      <c r="AB9" s="41" t="n">
        <f aca="false">(1+Assumptions!$C$15)^((26-1)/12)</f>
        <v>0.628208979119201</v>
      </c>
      <c r="AC9" s="41" t="n">
        <f aca="false">(1+Assumptions!$C$15)^((27-1)/12)</f>
        <v>0.616635189759358</v>
      </c>
      <c r="AD9" s="41" t="n">
        <f aca="false">(1+Assumptions!$C$15)^((28-1)/12)</f>
        <v>0.605274629762033</v>
      </c>
      <c r="AE9" s="41" t="n">
        <f aca="false">(1+Assumptions!$C$15)^((29-1)/12)</f>
        <v>0.594123370702436</v>
      </c>
      <c r="AF9" s="41" t="n">
        <f aca="false">(1+Assumptions!$C$15)^((30-1)/12)</f>
        <v>0.583177556530994</v>
      </c>
      <c r="AG9" s="41" t="n">
        <f aca="false">(1+Assumptions!$C$15)^((31-1)/12)</f>
        <v>0.572433402239946</v>
      </c>
      <c r="AH9" s="41" t="n">
        <f aca="false">(1+Assumptions!$C$15)^((32-1)/12)</f>
        <v>0.561887192554512</v>
      </c>
      <c r="AI9" s="41" t="n">
        <f aca="false">(1+Assumptions!$C$15)^((33-1)/12)</f>
        <v>0.551535280648162</v>
      </c>
      <c r="AJ9" s="41" t="n">
        <f aca="false">(1+Assumptions!$C$15)^((34-1)/12)</f>
        <v>0.541374086881569</v>
      </c>
      <c r="AK9" s="41" t="n">
        <f aca="false">(1+Assumptions!$C$15)^((35-1)/12)</f>
        <v>0.531400097564781</v>
      </c>
      <c r="AL9" s="41" t="n">
        <f aca="false">(1+Assumptions!$C$15)^((36-1)/12)</f>
        <v>0.521609863742211</v>
      </c>
    </row>
    <row r="10" customFormat="false" ht="15" hidden="false" customHeight="false" outlineLevel="0" collapsed="false">
      <c r="B10" s="19" t="s">
        <v>121</v>
      </c>
      <c r="C10" s="33" t="n">
        <f aca="false">'Bottom-Up'!$L$12*(C7/Assumptions!$C$6)*C8*C9</f>
        <v>3620.9922</v>
      </c>
      <c r="D10" s="33" t="n">
        <f aca="false">'Bottom-Up'!$L$12*(D7/Assumptions!$C$6)*D8*D9</f>
        <v>5137.02723501873</v>
      </c>
      <c r="E10" s="33" t="n">
        <f aca="false">'Bottom-Up'!$L$12*(E7/Assumptions!$C$6)*E8*E9</f>
        <v>6631.89344073291</v>
      </c>
      <c r="F10" s="33" t="n">
        <f aca="false">'Bottom-Up'!$L$12*(F7/Assumptions!$C$6)*F8*F9</f>
        <v>8105.81128984512</v>
      </c>
      <c r="G10" s="33" t="n">
        <f aca="false">'Bottom-Up'!$L$12*(G7/Assumptions!$C$6)*G8*G9</f>
        <v>9558.99921676672</v>
      </c>
      <c r="H10" s="33" t="n">
        <f aca="false">'Bottom-Up'!$L$12*(H7/Assumptions!$C$6)*H8*H9</f>
        <v>10991.6736352746</v>
      </c>
      <c r="I10" s="33" t="n">
        <f aca="false">'Bottom-Up'!$L$12*(I7/Assumptions!$C$6)*I8*I9</f>
        <v>12404.0489560211</v>
      </c>
      <c r="J10" s="33" t="n">
        <f aca="false">'Bottom-Up'!$L$12*(J7/Assumptions!$C$6)*J8*J9</f>
        <v>13796.3376038985</v>
      </c>
      <c r="K10" s="33" t="n">
        <f aca="false">'Bottom-Up'!$L$12*(K7/Assumptions!$C$6)*K8*K9</f>
        <v>15168.7500352592</v>
      </c>
      <c r="L10" s="33" t="n">
        <f aca="false">'Bottom-Up'!$L$12*(L7/Assumptions!$C$6)*L8*L9</f>
        <v>16521.4947549919</v>
      </c>
      <c r="M10" s="33" t="n">
        <f aca="false">'Bottom-Up'!$L$12*(M7/Assumptions!$C$6)*M8*M9</f>
        <v>17854.7783334567</v>
      </c>
      <c r="N10" s="33" t="n">
        <f aca="false">'Bottom-Up'!$L$12*(N7/Assumptions!$C$6)*N8*N9</f>
        <v>19168.8054232782</v>
      </c>
      <c r="O10" s="33" t="n">
        <f aca="false">'Bottom-Up'!$L$12*(O7/Assumptions!$C$6)*O8*O9</f>
        <v>19036.07328</v>
      </c>
      <c r="P10" s="33" t="n">
        <f aca="false">'Bottom-Up'!$L$12*(P7/Assumptions!$C$6)*P8*P9</f>
        <v>18904.2602248689</v>
      </c>
      <c r="Q10" s="33" t="n">
        <f aca="false">'Bottom-Up'!$L$12*(Q7/Assumptions!$C$6)*Q8*Q9</f>
        <v>18773.359893767</v>
      </c>
      <c r="R10" s="33" t="n">
        <f aca="false">'Bottom-Up'!$L$12*(R7/Assumptions!$C$6)*R8*R9</f>
        <v>18643.3659666438</v>
      </c>
      <c r="S10" s="33" t="n">
        <f aca="false">'Bottom-Up'!$L$12*(S7/Assumptions!$C$6)*S8*S9</f>
        <v>18514.2721672113</v>
      </c>
      <c r="T10" s="33" t="n">
        <f aca="false">'Bottom-Up'!$L$12*(T7/Assumptions!$C$6)*T8*T9</f>
        <v>18386.0722626411</v>
      </c>
      <c r="U10" s="33" t="n">
        <f aca="false">'Bottom-Up'!$L$12*(U7/Assumptions!$C$6)*U8*U9</f>
        <v>18258.760063263</v>
      </c>
      <c r="V10" s="33" t="n">
        <f aca="false">'Bottom-Up'!$L$12*(V7/Assumptions!$C$6)*V8*V9</f>
        <v>18132.3294222666</v>
      </c>
      <c r="W10" s="33" t="n">
        <f aca="false">'Bottom-Up'!$L$12*(W7/Assumptions!$C$6)*W8*W9</f>
        <v>18006.7742354045</v>
      </c>
      <c r="X10" s="33" t="n">
        <f aca="false">'Bottom-Up'!$L$12*(X7/Assumptions!$C$6)*X8*X9</f>
        <v>17882.0884406972</v>
      </c>
      <c r="Y10" s="33" t="n">
        <f aca="false">'Bottom-Up'!$L$12*(Y7/Assumptions!$C$6)*Y8*Y9</f>
        <v>17758.2660181407</v>
      </c>
      <c r="Z10" s="33" t="n">
        <f aca="false">'Bottom-Up'!$L$12*(Z7/Assumptions!$C$6)*Z8*Z9</f>
        <v>17635.3009894159</v>
      </c>
      <c r="AA10" s="33" t="n">
        <f aca="false">'Bottom-Up'!$L$12*(AA7/Assumptions!$C$6)*AA8*AA9</f>
        <v>17513.1874176</v>
      </c>
      <c r="AB10" s="33" t="n">
        <f aca="false">'Bottom-Up'!$L$12*(AB7/Assumptions!$C$6)*AB8*AB9</f>
        <v>17391.9194068794</v>
      </c>
      <c r="AC10" s="33" t="n">
        <f aca="false">'Bottom-Up'!$L$12*(AC7/Assumptions!$C$6)*AC8*AC9</f>
        <v>17271.4911022656</v>
      </c>
      <c r="AD10" s="33" t="n">
        <f aca="false">'Bottom-Up'!$L$12*(AD7/Assumptions!$C$6)*AD8*AD9</f>
        <v>17151.8966893123</v>
      </c>
      <c r="AE10" s="33" t="n">
        <f aca="false">'Bottom-Up'!$L$12*(AE7/Assumptions!$C$6)*AE8*AE9</f>
        <v>17033.1303938344</v>
      </c>
      <c r="AF10" s="33" t="n">
        <f aca="false">'Bottom-Up'!$L$12*(AF7/Assumptions!$C$6)*AF8*AF9</f>
        <v>16915.1864816298</v>
      </c>
      <c r="AG10" s="33" t="n">
        <f aca="false">'Bottom-Up'!$L$12*(AG7/Assumptions!$C$6)*AG8*AG9</f>
        <v>16798.059258202</v>
      </c>
      <c r="AH10" s="33" t="n">
        <f aca="false">'Bottom-Up'!$L$12*(AH7/Assumptions!$C$6)*AH8*AH9</f>
        <v>16681.7430684853</v>
      </c>
      <c r="AI10" s="33" t="n">
        <f aca="false">'Bottom-Up'!$L$12*(AI7/Assumptions!$C$6)*AI8*AI9</f>
        <v>16566.2322965721</v>
      </c>
      <c r="AJ10" s="33" t="n">
        <f aca="false">'Bottom-Up'!$L$12*(AJ7/Assumptions!$C$6)*AJ8*AJ9</f>
        <v>16451.5213654414</v>
      </c>
      <c r="AK10" s="33" t="n">
        <f aca="false">'Bottom-Up'!$L$12*(AK7/Assumptions!$C$6)*AK8*AK9</f>
        <v>16337.6047366894</v>
      </c>
      <c r="AL10" s="33" t="n">
        <f aca="false">'Bottom-Up'!$L$12*(AL7/Assumptions!$C$6)*AL8*AL9</f>
        <v>16224.4769102627</v>
      </c>
    </row>
    <row r="11" customFormat="false" ht="15" hidden="false" customHeight="false" outlineLevel="0" collapsed="false">
      <c r="B11" s="19" t="s">
        <v>122</v>
      </c>
      <c r="C11" s="27" t="n">
        <f aca="false">C10*((1+Assumptions!$C$19)*(1+Assumptions!$C$20)-1)</f>
        <v>959.562933</v>
      </c>
      <c r="D11" s="27" t="n">
        <f aca="false">D10*((1+Assumptions!$C$19)*(1+Assumptions!$C$20)-1)</f>
        <v>1361.31221727996</v>
      </c>
      <c r="E11" s="27" t="n">
        <f aca="false">E10*((1+Assumptions!$C$19)*(1+Assumptions!$C$20)-1)</f>
        <v>1757.45176179422</v>
      </c>
      <c r="F11" s="27" t="n">
        <f aca="false">F10*((1+Assumptions!$C$19)*(1+Assumptions!$C$20)-1)</f>
        <v>2148.03999180896</v>
      </c>
      <c r="G11" s="27" t="n">
        <f aca="false">G10*((1+Assumptions!$C$19)*(1+Assumptions!$C$20)-1)</f>
        <v>2533.13479244318</v>
      </c>
      <c r="H11" s="27" t="n">
        <f aca="false">H10*((1+Assumptions!$C$19)*(1+Assumptions!$C$20)-1)</f>
        <v>2912.79351334776</v>
      </c>
      <c r="I11" s="27" t="n">
        <f aca="false">I10*((1+Assumptions!$C$19)*(1+Assumptions!$C$20)-1)</f>
        <v>3287.07297334558</v>
      </c>
      <c r="J11" s="27" t="n">
        <f aca="false">J10*((1+Assumptions!$C$19)*(1+Assumptions!$C$20)-1)</f>
        <v>3656.02946503311</v>
      </c>
      <c r="K11" s="27" t="n">
        <f aca="false">K10*((1+Assumptions!$C$19)*(1+Assumptions!$C$20)-1)</f>
        <v>4019.71875934369</v>
      </c>
      <c r="L11" s="27" t="n">
        <f aca="false">L10*((1+Assumptions!$C$19)*(1+Assumptions!$C$20)-1)</f>
        <v>4378.19611007286</v>
      </c>
      <c r="M11" s="27" t="n">
        <f aca="false">M10*((1+Assumptions!$C$19)*(1+Assumptions!$C$20)-1)</f>
        <v>4731.51625836601</v>
      </c>
      <c r="N11" s="27" t="n">
        <f aca="false">N10*((1+Assumptions!$C$19)*(1+Assumptions!$C$20)-1)</f>
        <v>5079.73343716872</v>
      </c>
      <c r="O11" s="27" t="n">
        <f aca="false">O10*((1+Assumptions!$C$19)*(1+Assumptions!$C$20)-1)</f>
        <v>5044.5594192</v>
      </c>
      <c r="P11" s="27" t="n">
        <f aca="false">P10*((1+Assumptions!$C$19)*(1+Assumptions!$C$20)-1)</f>
        <v>5009.62895959027</v>
      </c>
      <c r="Q11" s="27" t="n">
        <f aca="false">Q10*((1+Assumptions!$C$19)*(1+Assumptions!$C$20)-1)</f>
        <v>4974.94037184825</v>
      </c>
      <c r="R11" s="27" t="n">
        <f aca="false">R10*((1+Assumptions!$C$19)*(1+Assumptions!$C$20)-1)</f>
        <v>4940.4919811606</v>
      </c>
      <c r="S11" s="27" t="n">
        <f aca="false">S10*((1+Assumptions!$C$19)*(1+Assumptions!$C$20)-1)</f>
        <v>4906.282124311</v>
      </c>
      <c r="T11" s="27" t="n">
        <f aca="false">T10*((1+Assumptions!$C$19)*(1+Assumptions!$C$20)-1)</f>
        <v>4872.30914959989</v>
      </c>
      <c r="U11" s="27" t="n">
        <f aca="false">U10*((1+Assumptions!$C$19)*(1+Assumptions!$C$20)-1)</f>
        <v>4838.57141676469</v>
      </c>
      <c r="V11" s="27" t="n">
        <f aca="false">V10*((1+Assumptions!$C$19)*(1+Assumptions!$C$20)-1)</f>
        <v>4805.06729690066</v>
      </c>
      <c r="W11" s="27" t="n">
        <f aca="false">W10*((1+Assumptions!$C$19)*(1+Assumptions!$C$20)-1)</f>
        <v>4771.79517238219</v>
      </c>
      <c r="X11" s="27" t="n">
        <f aca="false">X10*((1+Assumptions!$C$19)*(1+Assumptions!$C$20)-1)</f>
        <v>4738.75343678475</v>
      </c>
      <c r="Y11" s="27" t="n">
        <f aca="false">Y10*((1+Assumptions!$C$19)*(1+Assumptions!$C$20)-1)</f>
        <v>4705.94049480728</v>
      </c>
      <c r="Z11" s="27" t="n">
        <f aca="false">Z10*((1+Assumptions!$C$19)*(1+Assumptions!$C$20)-1)</f>
        <v>4673.35476219522</v>
      </c>
      <c r="AA11" s="27" t="n">
        <f aca="false">AA10*((1+Assumptions!$C$19)*(1+Assumptions!$C$20)-1)</f>
        <v>4640.994665664</v>
      </c>
      <c r="AB11" s="27" t="n">
        <f aca="false">AB10*((1+Assumptions!$C$19)*(1+Assumptions!$C$20)-1)</f>
        <v>4608.85864282305</v>
      </c>
      <c r="AC11" s="27" t="n">
        <f aca="false">AC10*((1+Assumptions!$C$19)*(1+Assumptions!$C$20)-1)</f>
        <v>4576.94514210039</v>
      </c>
      <c r="AD11" s="27" t="n">
        <f aca="false">AD10*((1+Assumptions!$C$19)*(1+Assumptions!$C$20)-1)</f>
        <v>4545.25262266775</v>
      </c>
      <c r="AE11" s="27" t="n">
        <f aca="false">AE10*((1+Assumptions!$C$19)*(1+Assumptions!$C$20)-1)</f>
        <v>4513.77955436612</v>
      </c>
      <c r="AF11" s="27" t="n">
        <f aca="false">AF10*((1+Assumptions!$C$19)*(1+Assumptions!$C$20)-1)</f>
        <v>4482.52441763189</v>
      </c>
      <c r="AG11" s="27" t="n">
        <f aca="false">AG10*((1+Assumptions!$C$19)*(1+Assumptions!$C$20)-1)</f>
        <v>4451.48570342352</v>
      </c>
      <c r="AH11" s="27" t="n">
        <f aca="false">AH10*((1+Assumptions!$C$19)*(1+Assumptions!$C$20)-1)</f>
        <v>4420.66191314861</v>
      </c>
      <c r="AI11" s="27" t="n">
        <f aca="false">AI10*((1+Assumptions!$C$19)*(1+Assumptions!$C$20)-1)</f>
        <v>4390.05155859162</v>
      </c>
      <c r="AJ11" s="27" t="n">
        <f aca="false">AJ10*((1+Assumptions!$C$19)*(1+Assumptions!$C$20)-1)</f>
        <v>4359.65316184197</v>
      </c>
      <c r="AK11" s="27" t="n">
        <f aca="false">AK10*((1+Assumptions!$C$19)*(1+Assumptions!$C$20)-1)</f>
        <v>4329.4652552227</v>
      </c>
      <c r="AL11" s="27" t="n">
        <f aca="false">AL10*((1+Assumptions!$C$19)*(1+Assumptions!$C$20)-1)</f>
        <v>4299.48638121961</v>
      </c>
    </row>
    <row r="12" customFormat="false" ht="15" hidden="false" customHeight="false" outlineLevel="0" collapsed="false">
      <c r="B12" s="42" t="s">
        <v>123</v>
      </c>
      <c r="C12" s="43" t="n">
        <f aca="false">C10+C11</f>
        <v>4580.555133</v>
      </c>
      <c r="D12" s="43" t="n">
        <f aca="false">D10+D11</f>
        <v>6498.3394522987</v>
      </c>
      <c r="E12" s="43" t="n">
        <f aca="false">E10+E11</f>
        <v>8389.34520252713</v>
      </c>
      <c r="F12" s="43" t="n">
        <f aca="false">F10+F11</f>
        <v>10253.8512816541</v>
      </c>
      <c r="G12" s="43" t="n">
        <f aca="false">G10+G11</f>
        <v>12092.1340092099</v>
      </c>
      <c r="H12" s="43" t="n">
        <f aca="false">H10+H11</f>
        <v>13904.4671486223</v>
      </c>
      <c r="I12" s="43" t="n">
        <f aca="false">I10+I11</f>
        <v>15691.1219293666</v>
      </c>
      <c r="J12" s="43" t="n">
        <f aca="false">J10+J11</f>
        <v>17452.3670689316</v>
      </c>
      <c r="K12" s="43" t="n">
        <f aca="false">K10+K11</f>
        <v>19188.4687946029</v>
      </c>
      <c r="L12" s="43" t="n">
        <f aca="false">L10+L11</f>
        <v>20899.6908650648</v>
      </c>
      <c r="M12" s="43" t="n">
        <f aca="false">M10+M11</f>
        <v>22586.2945918227</v>
      </c>
      <c r="N12" s="43" t="n">
        <f aca="false">N10+N11</f>
        <v>24248.5388604469</v>
      </c>
      <c r="O12" s="43" t="n">
        <f aca="false">O10+O11</f>
        <v>24080.6326992</v>
      </c>
      <c r="P12" s="43" t="n">
        <f aca="false">P10+P11</f>
        <v>23913.8891844592</v>
      </c>
      <c r="Q12" s="43" t="n">
        <f aca="false">Q10+Q11</f>
        <v>23748.3002656153</v>
      </c>
      <c r="R12" s="43" t="n">
        <f aca="false">R10+R11</f>
        <v>23583.8579478044</v>
      </c>
      <c r="S12" s="43" t="n">
        <f aca="false">S10+S11</f>
        <v>23420.5542915223</v>
      </c>
      <c r="T12" s="43" t="n">
        <f aca="false">T10+T11</f>
        <v>23258.381412241</v>
      </c>
      <c r="U12" s="43" t="n">
        <f aca="false">U10+U11</f>
        <v>23097.3314800277</v>
      </c>
      <c r="V12" s="43" t="n">
        <f aca="false">V10+V11</f>
        <v>22937.3967191673</v>
      </c>
      <c r="W12" s="43" t="n">
        <f aca="false">W10+W11</f>
        <v>22778.5694077867</v>
      </c>
      <c r="X12" s="43" t="n">
        <f aca="false">X10+X11</f>
        <v>22620.8418774819</v>
      </c>
      <c r="Y12" s="43" t="n">
        <f aca="false">Y10+Y11</f>
        <v>22464.206512948</v>
      </c>
      <c r="Z12" s="43" t="n">
        <f aca="false">Z10+Z11</f>
        <v>22308.6557516112</v>
      </c>
      <c r="AA12" s="43" t="n">
        <f aca="false">AA10+AA11</f>
        <v>22154.182083264</v>
      </c>
      <c r="AB12" s="43" t="n">
        <f aca="false">AB10+AB11</f>
        <v>22000.7780497025</v>
      </c>
      <c r="AC12" s="43" t="n">
        <f aca="false">AC10+AC11</f>
        <v>21848.436244366</v>
      </c>
      <c r="AD12" s="43" t="n">
        <f aca="false">AD10+AD11</f>
        <v>21697.14931198</v>
      </c>
      <c r="AE12" s="43" t="n">
        <f aca="false">AE10+AE11</f>
        <v>21546.9099482005</v>
      </c>
      <c r="AF12" s="43" t="n">
        <f aca="false">AF10+AF11</f>
        <v>21397.7108992617</v>
      </c>
      <c r="AG12" s="43" t="n">
        <f aca="false">AG10+AG11</f>
        <v>21249.5449616255</v>
      </c>
      <c r="AH12" s="43" t="n">
        <f aca="false">AH10+AH11</f>
        <v>21102.4049816339</v>
      </c>
      <c r="AI12" s="43" t="n">
        <f aca="false">AI10+AI11</f>
        <v>20956.2838551638</v>
      </c>
      <c r="AJ12" s="43" t="n">
        <f aca="false">AJ10+AJ11</f>
        <v>20811.1745272833</v>
      </c>
      <c r="AK12" s="43" t="n">
        <f aca="false">AK10+AK11</f>
        <v>20667.0699919121</v>
      </c>
      <c r="AL12" s="43" t="n">
        <f aca="false">AL10+AL11</f>
        <v>20523.9632914823</v>
      </c>
      <c r="AM12" s="31" t="n">
        <f aca="false">SUM(C12:AL12)</f>
        <v>709953.400033288</v>
      </c>
    </row>
    <row r="13" customFormat="false" ht="15" hidden="false" customHeight="false" outlineLevel="0" collapsed="false">
      <c r="B13" s="19" t="s">
        <v>124</v>
      </c>
      <c r="C13" s="27" t="n">
        <f aca="false">C12</f>
        <v>4580.555133</v>
      </c>
      <c r="D13" s="27" t="n">
        <f aca="false">C13+D12</f>
        <v>11078.8945852987</v>
      </c>
      <c r="E13" s="27" t="n">
        <f aca="false">D13+E12</f>
        <v>19468.2397878258</v>
      </c>
      <c r="F13" s="27" t="n">
        <f aca="false">E13+F12</f>
        <v>29722.0910694799</v>
      </c>
      <c r="G13" s="27" t="n">
        <f aca="false">F13+G12</f>
        <v>41814.2250786898</v>
      </c>
      <c r="H13" s="27" t="n">
        <f aca="false">G13+H12</f>
        <v>55718.6922273121</v>
      </c>
      <c r="I13" s="27" t="n">
        <f aca="false">H13+I12</f>
        <v>71409.8141566788</v>
      </c>
      <c r="J13" s="27" t="n">
        <f aca="false">I13+J12</f>
        <v>88862.1812256104</v>
      </c>
      <c r="K13" s="27" t="n">
        <f aca="false">J13+K12</f>
        <v>108050.650020213</v>
      </c>
      <c r="L13" s="27" t="n">
        <f aca="false">K13+L12</f>
        <v>128950.340885278</v>
      </c>
      <c r="M13" s="27" t="n">
        <f aca="false">L13+M12</f>
        <v>151536.635477101</v>
      </c>
      <c r="N13" s="27" t="n">
        <f aca="false">M13+N12</f>
        <v>175785.174337548</v>
      </c>
      <c r="O13" s="27" t="n">
        <f aca="false">N13+O12</f>
        <v>199865.807036748</v>
      </c>
      <c r="P13" s="27" t="n">
        <f aca="false">O13+P12</f>
        <v>223779.696221207</v>
      </c>
      <c r="Q13" s="27" t="n">
        <f aca="false">P13+Q12</f>
        <v>247527.996486822</v>
      </c>
      <c r="R13" s="27" t="n">
        <f aca="false">Q13+R12</f>
        <v>271111.854434627</v>
      </c>
      <c r="S13" s="27" t="n">
        <f aca="false">R13+S12</f>
        <v>294532.408726149</v>
      </c>
      <c r="T13" s="27" t="n">
        <f aca="false">S13+T12</f>
        <v>317790.79013839</v>
      </c>
      <c r="U13" s="27" t="n">
        <f aca="false">T13+U12</f>
        <v>340888.121618418</v>
      </c>
      <c r="V13" s="27" t="n">
        <f aca="false">U13+V12</f>
        <v>363825.518337585</v>
      </c>
      <c r="W13" s="27" t="n">
        <f aca="false">V13+W12</f>
        <v>386604.087745372</v>
      </c>
      <c r="X13" s="27" t="n">
        <f aca="false">W13+X12</f>
        <v>409224.929622853</v>
      </c>
      <c r="Y13" s="27" t="n">
        <f aca="false">X13+Y12</f>
        <v>431689.136135801</v>
      </c>
      <c r="Z13" s="27" t="n">
        <f aca="false">Y13+Z12</f>
        <v>453997.791887413</v>
      </c>
      <c r="AA13" s="27" t="n">
        <f aca="false">Z13+AA12</f>
        <v>476151.973970677</v>
      </c>
      <c r="AB13" s="27" t="n">
        <f aca="false">AA13+AB12</f>
        <v>498152.752020379</v>
      </c>
      <c r="AC13" s="27" t="n">
        <f aca="false">AB13+AC12</f>
        <v>520001.188264745</v>
      </c>
      <c r="AD13" s="27" t="n">
        <f aca="false">AC13+AD12</f>
        <v>541698.337576725</v>
      </c>
      <c r="AE13" s="27" t="n">
        <f aca="false">AD13+AE12</f>
        <v>563245.247524926</v>
      </c>
      <c r="AF13" s="27" t="n">
        <f aca="false">AE13+AF12</f>
        <v>584642.958424187</v>
      </c>
      <c r="AG13" s="27" t="n">
        <f aca="false">AF13+AG12</f>
        <v>605892.503385813</v>
      </c>
      <c r="AH13" s="27" t="n">
        <f aca="false">AG13+AH12</f>
        <v>626994.908367447</v>
      </c>
      <c r="AI13" s="27" t="n">
        <f aca="false">AH13+AI12</f>
        <v>647951.192222611</v>
      </c>
      <c r="AJ13" s="27" t="n">
        <f aca="false">AI13+AJ12</f>
        <v>668762.366749894</v>
      </c>
      <c r="AK13" s="27" t="n">
        <f aca="false">AJ13+AK12</f>
        <v>689429.436741806</v>
      </c>
      <c r="AL13" s="27" t="n">
        <f aca="false">AK13+AL12</f>
        <v>709953.400033288</v>
      </c>
      <c r="AM13" s="31" t="n">
        <f aca="false">AL13</f>
        <v>709953.400033288</v>
      </c>
    </row>
    <row r="15" customFormat="false" ht="15" hidden="false" customHeight="false" outlineLevel="0" collapsed="false">
      <c r="B15" s="4" t="s">
        <v>127</v>
      </c>
      <c r="C15" s="44" t="n">
        <f aca="false">AL13</f>
        <v>709953.400033288</v>
      </c>
    </row>
  </sheetData>
  <mergeCells count="1">
    <mergeCell ref="B2:AM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5" min="3" style="0" width="16"/>
  </cols>
  <sheetData>
    <row r="2" customFormat="false" ht="17.35" hidden="false" customHeight="false" outlineLevel="0" collapsed="false">
      <c r="B2" s="1" t="s">
        <v>128</v>
      </c>
      <c r="C2" s="1"/>
      <c r="D2" s="1"/>
      <c r="E2" s="1"/>
    </row>
    <row r="3" customFormat="false" ht="15" hidden="false" customHeight="false" outlineLevel="0" collapsed="false">
      <c r="B3" s="2" t="s">
        <v>129</v>
      </c>
    </row>
    <row r="5" customFormat="false" ht="15" hidden="false" customHeight="false" outlineLevel="0" collapsed="false">
      <c r="B5" s="13" t="s">
        <v>130</v>
      </c>
      <c r="C5" s="13" t="s">
        <v>131</v>
      </c>
      <c r="D5" s="13" t="s">
        <v>132</v>
      </c>
      <c r="E5" s="13" t="s">
        <v>133</v>
      </c>
    </row>
    <row r="6" customFormat="false" ht="15" hidden="false" customHeight="false" outlineLevel="0" collapsed="false">
      <c r="B6" s="19" t="s">
        <v>134</v>
      </c>
      <c r="C6" s="45" t="n">
        <v>0.7</v>
      </c>
      <c r="D6" s="45" t="n">
        <v>1</v>
      </c>
      <c r="E6" s="45" t="n">
        <v>1.4</v>
      </c>
    </row>
    <row r="7" customFormat="false" ht="15" hidden="false" customHeight="false" outlineLevel="0" collapsed="false">
      <c r="B7" s="19" t="s">
        <v>135</v>
      </c>
      <c r="C7" s="45" t="n">
        <v>0.8</v>
      </c>
      <c r="D7" s="45" t="n">
        <v>1</v>
      </c>
      <c r="E7" s="45" t="n">
        <v>1.3</v>
      </c>
    </row>
    <row r="8" customFormat="false" ht="15" hidden="false" customHeight="false" outlineLevel="0" collapsed="false">
      <c r="B8" s="19" t="s">
        <v>136</v>
      </c>
      <c r="C8" s="45" t="n">
        <v>0.85</v>
      </c>
      <c r="D8" s="45" t="n">
        <v>1</v>
      </c>
      <c r="E8" s="45" t="n">
        <v>1.25</v>
      </c>
    </row>
    <row r="9" customFormat="false" ht="15" hidden="false" customHeight="false" outlineLevel="0" collapsed="false">
      <c r="B9" s="28" t="s">
        <v>137</v>
      </c>
      <c r="C9" s="46" t="n">
        <f aca="false">PRODUCT(C6:C8)</f>
        <v>0.476</v>
      </c>
      <c r="D9" s="46" t="n">
        <f aca="false">PRODUCT(D6:D8)</f>
        <v>1</v>
      </c>
      <c r="E9" s="46" t="n">
        <f aca="false">PRODUCT(E6:E8)</f>
        <v>2.275</v>
      </c>
    </row>
    <row r="11" customFormat="false" ht="15" hidden="false" customHeight="false" outlineLevel="0" collapsed="false">
      <c r="B11" s="4" t="s">
        <v>138</v>
      </c>
      <c r="C11" s="47" t="n">
        <f aca="false">'Bottom-Up'!$L$14*C9</f>
        <v>12459.10996176</v>
      </c>
      <c r="D11" s="47" t="n">
        <f aca="false">'Bottom-Up'!$L$14*D9</f>
        <v>26174.60076</v>
      </c>
      <c r="E11" s="47" t="n">
        <f aca="false">'Bottom-Up'!$L$14*E9</f>
        <v>59547.216729</v>
      </c>
    </row>
    <row r="12" customFormat="false" ht="15" hidden="false" customHeight="false" outlineLevel="0" collapsed="false">
      <c r="B12" s="17" t="s">
        <v>139</v>
      </c>
      <c r="C12" s="27" t="n">
        <f aca="false">C11*12</f>
        <v>149509.31954112</v>
      </c>
      <c r="D12" s="27" t="n">
        <f aca="false">D11*12</f>
        <v>314095.20912</v>
      </c>
      <c r="E12" s="27" t="n">
        <f aca="false">E11*12</f>
        <v>714566.600748</v>
      </c>
    </row>
    <row r="14" customFormat="false" ht="15" hidden="false" customHeight="false" outlineLevel="0" collapsed="false">
      <c r="B14" s="35" t="s">
        <v>140</v>
      </c>
      <c r="C14" s="35"/>
      <c r="D14" s="35"/>
      <c r="E14" s="35"/>
    </row>
  </sheetData>
  <mergeCells count="2">
    <mergeCell ref="B2:E2"/>
    <mergeCell ref="B14:E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5" min="2" style="0" width="28"/>
  </cols>
  <sheetData>
    <row r="2" customFormat="false" ht="17.35" hidden="false" customHeight="false" outlineLevel="0" collapsed="false">
      <c r="B2" s="1" t="s">
        <v>141</v>
      </c>
      <c r="C2" s="1"/>
      <c r="D2" s="1"/>
      <c r="E2" s="1"/>
    </row>
    <row r="3" customFormat="false" ht="15" hidden="false" customHeight="false" outlineLevel="0" collapsed="false">
      <c r="B3" s="2" t="s">
        <v>142</v>
      </c>
    </row>
    <row r="6" customFormat="false" ht="25.5" hidden="false" customHeight="true" outlineLevel="0" collapsed="false">
      <c r="B6" s="36" t="s">
        <v>143</v>
      </c>
      <c r="C6" s="48" t="n">
        <f aca="false">'Bottom-Up'!$L$14</f>
        <v>26174.60076</v>
      </c>
    </row>
    <row r="7" customFormat="false" ht="25.5" hidden="false" customHeight="true" outlineLevel="0" collapsed="false">
      <c r="B7" s="36" t="s">
        <v>144</v>
      </c>
      <c r="C7" s="48" t="n">
        <f aca="false">'Bottom-Up'!$L$14*12</f>
        <v>314095.20912</v>
      </c>
    </row>
    <row r="8" customFormat="false" ht="25.5" hidden="false" customHeight="true" outlineLevel="0" collapsed="false">
      <c r="B8" s="36" t="s">
        <v>145</v>
      </c>
      <c r="C8" s="48" t="n">
        <f aca="false">'Projection-12mo'!N13</f>
        <v>175785.174337548</v>
      </c>
    </row>
    <row r="9" customFormat="false" ht="25.5" hidden="false" customHeight="true" outlineLevel="0" collapsed="false">
      <c r="B9" s="36" t="s">
        <v>146</v>
      </c>
      <c r="C9" s="48" t="n">
        <f aca="false">'Projection-36mo'!AL13</f>
        <v>709953.400033288</v>
      </c>
    </row>
    <row r="10" customFormat="false" ht="25.5" hidden="false" customHeight="true" outlineLevel="0" collapsed="false">
      <c r="B10" s="36" t="s">
        <v>147</v>
      </c>
      <c r="C10" s="49" t="n">
        <f aca="false">'Bottom-Up'!$L$14*12/Assumptions!$C$6</f>
        <v>62.819041824</v>
      </c>
    </row>
    <row r="11" customFormat="false" ht="25.5" hidden="false" customHeight="true" outlineLevel="0" collapsed="false">
      <c r="B11" s="36" t="s">
        <v>148</v>
      </c>
      <c r="C11" s="50" t="n">
        <f aca="false">'Bottom-Up'!$J$12</f>
        <v>5323.08</v>
      </c>
    </row>
    <row r="13" customFormat="false" ht="15" hidden="false" customHeight="false" outlineLevel="0" collapsed="false">
      <c r="B13" s="3" t="s">
        <v>149</v>
      </c>
    </row>
    <row r="14" customFormat="false" ht="15" hidden="false" customHeight="false" outlineLevel="0" collapsed="false">
      <c r="B14" s="13" t="s">
        <v>79</v>
      </c>
      <c r="C14" s="13" t="s">
        <v>89</v>
      </c>
      <c r="D14" s="13" t="s">
        <v>150</v>
      </c>
    </row>
    <row r="15" customFormat="false" ht="15" hidden="false" customHeight="false" outlineLevel="0" collapsed="false">
      <c r="B15" s="51" t="str">
        <f aca="false">'Bottom-Up'!B6</f>
        <v>Customer support assistant</v>
      </c>
      <c r="C15" s="33" t="n">
        <f aca="false">'Bottom-Up'!L6</f>
        <v>2721.6</v>
      </c>
      <c r="D15" s="39" t="n">
        <f aca="false">C15/SUM($C$15:$C$20)</f>
        <v>0.131533009101759</v>
      </c>
    </row>
    <row r="16" customFormat="false" ht="15" hidden="false" customHeight="false" outlineLevel="0" collapsed="false">
      <c r="B16" s="51" t="str">
        <f aca="false">'Bottom-Up'!B7</f>
        <v>Coding assistant (IDE)</v>
      </c>
      <c r="C16" s="33" t="n">
        <f aca="false">'Bottom-Up'!L7</f>
        <v>12715.5</v>
      </c>
      <c r="D16" s="39" t="n">
        <f aca="false">C16/SUM($C$15:$C$20)</f>
        <v>0.614531149777125</v>
      </c>
    </row>
    <row r="17" customFormat="false" ht="15" hidden="false" customHeight="false" outlineLevel="0" collapsed="false">
      <c r="B17" s="51" t="str">
        <f aca="false">'Bottom-Up'!B8</f>
        <v>Internal knowledge / RAG search</v>
      </c>
      <c r="C17" s="33" t="n">
        <f aca="false">'Bottom-Up'!L8</f>
        <v>1554</v>
      </c>
      <c r="D17" s="39" t="n">
        <f aca="false">C17/SUM($C$15:$C$20)</f>
        <v>0.0751037243327948</v>
      </c>
    </row>
    <row r="18" customFormat="false" ht="15" hidden="false" customHeight="false" outlineLevel="0" collapsed="false">
      <c r="B18" s="51" t="str">
        <f aca="false">'Bottom-Up'!B9</f>
        <v>Doc summarization (batch)</v>
      </c>
      <c r="C18" s="33" t="n">
        <f aca="false">'Bottom-Up'!L9</f>
        <v>334.32</v>
      </c>
      <c r="D18" s="39" t="n">
        <f aca="false">C18/SUM($C$15:$C$20)</f>
        <v>0.0161574498834877</v>
      </c>
    </row>
    <row r="19" customFormat="false" ht="15" hidden="false" customHeight="false" outlineLevel="0" collapsed="false">
      <c r="B19" s="51" t="str">
        <f aca="false">'Bottom-Up'!B10</f>
        <v>Sales &amp; marketing content</v>
      </c>
      <c r="C19" s="33" t="n">
        <f aca="false">'Bottom-Up'!L10</f>
        <v>1186.164</v>
      </c>
      <c r="D19" s="39" t="n">
        <f aca="false">C19/SUM($C$15:$C$20)</f>
        <v>0.0573264698001835</v>
      </c>
    </row>
    <row r="20" customFormat="false" ht="15" hidden="false" customHeight="false" outlineLevel="0" collapsed="false">
      <c r="B20" s="51" t="str">
        <f aca="false">'Bottom-Up'!B11</f>
        <v>Data / BI copilot</v>
      </c>
      <c r="C20" s="33" t="n">
        <f aca="false">'Bottom-Up'!L11</f>
        <v>2179.8</v>
      </c>
      <c r="D20" s="39" t="n">
        <f aca="false">C20/SUM($C$15:$C$20)</f>
        <v>0.10534819710465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2026-06-15T12:09:24Z</dcterms:created>
  <dc:creator>Smit Jani</dc:creator>
  <dc:description/>
  <dc:language>en-US</dc:language>
  <cp:lastModifiedBy/>
  <dcterms:modified xsi:type="dcterms:W3CDTF">2026-06-15T12:09:25Z</dcterms:modified>
  <cp:revision>1</cp:revision>
  <dc:subject/>
  <dc:title>AI Token Cost Projection Framework — companion model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